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Для размещения\"/>
    </mc:Choice>
  </mc:AlternateContent>
  <bookViews>
    <workbookView xWindow="0" yWindow="840" windowWidth="1980" windowHeight="1245"/>
  </bookViews>
  <sheets>
    <sheet name="Муницип" sheetId="2" r:id="rId1"/>
  </sheets>
  <definedNames>
    <definedName name="_xlnm.Print_Titles" localSheetId="0">Муницип!$3:$6</definedName>
    <definedName name="_xlnm.Print_Area" localSheetId="0">Муницип!$A$1:$T$388</definedName>
  </definedNames>
  <calcPr calcId="152511"/>
</workbook>
</file>

<file path=xl/calcChain.xml><?xml version="1.0" encoding="utf-8"?>
<calcChain xmlns="http://schemas.openxmlformats.org/spreadsheetml/2006/main">
  <c r="R103" i="2" l="1"/>
  <c r="R123" i="2"/>
  <c r="R101" i="2"/>
  <c r="T366" i="2" l="1"/>
  <c r="R106" i="2" l="1"/>
  <c r="R43" i="2" l="1"/>
  <c r="R42" i="2"/>
  <c r="R219" i="2"/>
  <c r="R71" i="2"/>
  <c r="R188" i="2"/>
  <c r="R271" i="2"/>
  <c r="R15" i="2"/>
  <c r="R170" i="2"/>
  <c r="R165" i="2"/>
  <c r="R161" i="2"/>
  <c r="R141" i="2"/>
  <c r="R130" i="2"/>
  <c r="R95" i="2"/>
  <c r="R40" i="2"/>
  <c r="R37" i="2"/>
  <c r="R14" i="2" l="1"/>
  <c r="R284" i="2"/>
  <c r="R34" i="2"/>
  <c r="R137" i="2"/>
  <c r="R135" i="2"/>
  <c r="R292" i="2"/>
  <c r="R228" i="2"/>
  <c r="R226" i="2"/>
  <c r="R225" i="2"/>
  <c r="R276" i="2"/>
  <c r="O76" i="2"/>
  <c r="P76" i="2"/>
  <c r="Q76" i="2"/>
  <c r="S76" i="2"/>
  <c r="T76" i="2"/>
  <c r="R76" i="2"/>
  <c r="Q135" i="2"/>
  <c r="P377" i="2"/>
  <c r="Q377" i="2"/>
  <c r="R377" i="2"/>
  <c r="S377" i="2"/>
  <c r="T377" i="2"/>
  <c r="O377" i="2"/>
  <c r="P375" i="2"/>
  <c r="Q375" i="2"/>
  <c r="R375" i="2"/>
  <c r="S375" i="2"/>
  <c r="T375" i="2"/>
  <c r="O375" i="2"/>
  <c r="P372" i="2"/>
  <c r="Q372" i="2"/>
  <c r="R372" i="2"/>
  <c r="S372" i="2"/>
  <c r="T372" i="2"/>
  <c r="O372" i="2"/>
  <c r="P348" i="2"/>
  <c r="Q348" i="2"/>
  <c r="R348" i="2"/>
  <c r="S348" i="2"/>
  <c r="T348" i="2"/>
  <c r="O348" i="2"/>
  <c r="O345" i="2"/>
  <c r="P345" i="2"/>
  <c r="Q345" i="2"/>
  <c r="R345" i="2"/>
  <c r="S345" i="2"/>
  <c r="T345" i="2"/>
  <c r="P360" i="2"/>
  <c r="Q360" i="2"/>
  <c r="R360" i="2"/>
  <c r="S360" i="2"/>
  <c r="T360" i="2"/>
  <c r="O360" i="2"/>
  <c r="P366" i="2"/>
  <c r="Q366" i="2"/>
  <c r="R366" i="2"/>
  <c r="S366" i="2"/>
  <c r="O366" i="2"/>
  <c r="P342" i="2"/>
  <c r="Q342" i="2"/>
  <c r="R342" i="2"/>
  <c r="S342" i="2"/>
  <c r="T342" i="2"/>
  <c r="O342" i="2"/>
  <c r="P340" i="2"/>
  <c r="Q340" i="2"/>
  <c r="R340" i="2"/>
  <c r="S340" i="2"/>
  <c r="T340" i="2"/>
  <c r="O340" i="2"/>
  <c r="P337" i="2"/>
  <c r="Q337" i="2"/>
  <c r="R337" i="2"/>
  <c r="S337" i="2"/>
  <c r="T337" i="2"/>
  <c r="O337" i="2"/>
  <c r="Q336" i="2" l="1"/>
  <c r="T336" i="2"/>
  <c r="R336" i="2"/>
  <c r="O336" i="2"/>
  <c r="P336" i="2"/>
  <c r="S336" i="2"/>
  <c r="O69" i="2"/>
  <c r="P69" i="2"/>
  <c r="R69" i="2"/>
  <c r="S69" i="2"/>
  <c r="T69" i="2"/>
  <c r="Q69" i="2"/>
  <c r="Q194" i="2"/>
  <c r="P318" i="2"/>
  <c r="Q318" i="2"/>
  <c r="R318" i="2"/>
  <c r="S318" i="2"/>
  <c r="T318" i="2"/>
  <c r="O318" i="2"/>
  <c r="Q223" i="2"/>
  <c r="P154" i="2"/>
  <c r="O154" i="2"/>
  <c r="O335" i="2" l="1"/>
  <c r="P43" i="2"/>
  <c r="O43" i="2"/>
  <c r="Q279" i="2"/>
  <c r="Q278" i="2"/>
  <c r="T276" i="2"/>
  <c r="S276" i="2"/>
  <c r="Q276" i="2"/>
  <c r="T274" i="2"/>
  <c r="S274" i="2"/>
  <c r="R274" i="2"/>
  <c r="Q274" i="2"/>
  <c r="T270" i="2"/>
  <c r="S270" i="2"/>
  <c r="R270" i="2"/>
  <c r="Q270" i="2"/>
  <c r="S277" i="2"/>
  <c r="R277" i="2"/>
  <c r="Q277" i="2"/>
  <c r="T271" i="2"/>
  <c r="S271" i="2"/>
  <c r="Q271" i="2"/>
  <c r="Q269" i="2"/>
  <c r="Q268" i="2"/>
  <c r="T248" i="2"/>
  <c r="S248" i="2"/>
  <c r="R248" i="2"/>
  <c r="Q248" i="2"/>
  <c r="P248" i="2"/>
  <c r="O248" i="2"/>
  <c r="T267" i="2"/>
  <c r="S267" i="2"/>
  <c r="R267" i="2"/>
  <c r="Q267" i="2"/>
  <c r="T265" i="2"/>
  <c r="S265" i="2"/>
  <c r="R265" i="2"/>
  <c r="Q265" i="2"/>
  <c r="T264" i="2"/>
  <c r="S264" i="2"/>
  <c r="R264" i="2"/>
  <c r="Q264" i="2"/>
  <c r="T275" i="2"/>
  <c r="S275" i="2"/>
  <c r="R275" i="2"/>
  <c r="Q275" i="2"/>
  <c r="P265" i="2"/>
  <c r="O265" i="2"/>
  <c r="P264" i="2"/>
  <c r="O264" i="2"/>
  <c r="T29" i="2"/>
  <c r="S29" i="2"/>
  <c r="R30" i="2"/>
  <c r="R29" i="2"/>
  <c r="Q29" i="2"/>
  <c r="T25" i="2"/>
  <c r="S25" i="2"/>
  <c r="R25" i="2"/>
  <c r="Q25" i="2"/>
  <c r="P22" i="2"/>
  <c r="P21" i="2"/>
  <c r="O22" i="2"/>
  <c r="O21" i="2"/>
  <c r="T30" i="2"/>
  <c r="S30" i="2"/>
  <c r="Q30" i="2"/>
  <c r="T28" i="2"/>
  <c r="S28" i="2"/>
  <c r="R28" i="2"/>
  <c r="Q28" i="2"/>
  <c r="P191" i="2"/>
  <c r="Q191" i="2"/>
  <c r="R191" i="2"/>
  <c r="S191" i="2"/>
  <c r="T191" i="2"/>
  <c r="O191" i="2"/>
  <c r="O79" i="2"/>
  <c r="P335" i="2" l="1"/>
  <c r="Q335" i="2"/>
  <c r="R335" i="2"/>
  <c r="S335" i="2"/>
  <c r="T335" i="2"/>
  <c r="O35" i="2"/>
  <c r="P279" i="2" l="1"/>
  <c r="O279" i="2"/>
  <c r="P277" i="2"/>
  <c r="O277" i="2"/>
  <c r="P276" i="2"/>
  <c r="O276" i="2"/>
  <c r="P267" i="2"/>
  <c r="O267" i="2"/>
  <c r="P274" i="2"/>
  <c r="O274" i="2"/>
  <c r="P271" i="2"/>
  <c r="O271" i="2"/>
  <c r="P270" i="2"/>
  <c r="O270" i="2"/>
  <c r="O246" i="2" l="1"/>
  <c r="P30" i="2" l="1"/>
  <c r="O30" i="2"/>
  <c r="P25" i="2" l="1"/>
  <c r="O25" i="2"/>
  <c r="O9" i="2" s="1"/>
  <c r="P283" i="2" l="1"/>
  <c r="Q283" i="2"/>
  <c r="R283" i="2"/>
  <c r="S283" i="2"/>
  <c r="T283" i="2"/>
  <c r="O283" i="2"/>
  <c r="O305" i="2" l="1"/>
  <c r="P217" i="2"/>
  <c r="Q217" i="2"/>
  <c r="R217" i="2"/>
  <c r="S217" i="2"/>
  <c r="T217" i="2"/>
  <c r="O217" i="2"/>
  <c r="R316" i="2" l="1"/>
  <c r="R315" i="2" s="1"/>
  <c r="S176" i="2"/>
  <c r="O316" i="2" l="1"/>
  <c r="P316" i="2" l="1"/>
  <c r="Q316" i="2"/>
  <c r="S316" i="2"/>
  <c r="T316" i="2"/>
  <c r="O315" i="2"/>
  <c r="Q321" i="2" l="1"/>
  <c r="P321" i="2"/>
  <c r="O321" i="2"/>
  <c r="P194" i="2"/>
  <c r="R194" i="2"/>
  <c r="O194" i="2"/>
  <c r="R321" i="2"/>
  <c r="S321" i="2"/>
  <c r="T321" i="2"/>
  <c r="P223" i="2"/>
  <c r="R223" i="2"/>
  <c r="S223" i="2"/>
  <c r="T223" i="2"/>
  <c r="O223" i="2"/>
  <c r="P285" i="2"/>
  <c r="Q285" i="2"/>
  <c r="R285" i="2"/>
  <c r="O285" i="2"/>
  <c r="P176" i="2"/>
  <c r="Q176" i="2"/>
  <c r="R176" i="2"/>
  <c r="T176" i="2"/>
  <c r="O176" i="2"/>
  <c r="P238" i="2"/>
  <c r="Q238" i="2"/>
  <c r="R238" i="2"/>
  <c r="S238" i="2"/>
  <c r="T238" i="2"/>
  <c r="O238" i="2"/>
  <c r="P232" i="2"/>
  <c r="Q232" i="2"/>
  <c r="R232" i="2"/>
  <c r="S232" i="2"/>
  <c r="T232" i="2"/>
  <c r="O232" i="2"/>
  <c r="O58" i="2"/>
  <c r="O140" i="2"/>
  <c r="O182" i="2"/>
  <c r="O185" i="2"/>
  <c r="P182" i="2"/>
  <c r="Q182" i="2"/>
  <c r="R182" i="2"/>
  <c r="S182" i="2"/>
  <c r="T182" i="2"/>
  <c r="P58" i="2"/>
  <c r="R58" i="2"/>
  <c r="S58" i="2"/>
  <c r="T58" i="2"/>
  <c r="P246" i="2" l="1"/>
  <c r="Q246" i="2"/>
  <c r="R246" i="2"/>
  <c r="O320" i="2"/>
  <c r="O149" i="2"/>
  <c r="T246" i="2"/>
  <c r="S246" i="2"/>
  <c r="Q305" i="2" l="1"/>
  <c r="R305" i="2"/>
  <c r="S305" i="2"/>
  <c r="T305" i="2"/>
  <c r="Q242" i="2"/>
  <c r="R242" i="2"/>
  <c r="S242" i="2"/>
  <c r="T242" i="2"/>
  <c r="O242" i="2"/>
  <c r="O8" i="2" s="1"/>
  <c r="P35" i="2"/>
  <c r="T35" i="2"/>
  <c r="S35" i="2"/>
  <c r="R35" i="2"/>
  <c r="Q35" i="2"/>
  <c r="P242" i="2" l="1"/>
  <c r="P305" i="2"/>
  <c r="P309" i="2"/>
  <c r="R309" i="2"/>
  <c r="R245" i="2" s="1"/>
  <c r="S309" i="2"/>
  <c r="T309" i="2"/>
  <c r="O309" i="2"/>
  <c r="O245" i="2" s="1"/>
  <c r="T185" i="2"/>
  <c r="P185" i="2"/>
  <c r="Q185" i="2"/>
  <c r="R185" i="2"/>
  <c r="S185" i="2"/>
  <c r="P245" i="2" l="1"/>
  <c r="S194" i="2"/>
  <c r="T285" i="2"/>
  <c r="T245" i="2" s="1"/>
  <c r="S285" i="2"/>
  <c r="S245" i="2" s="1"/>
  <c r="T194" i="2"/>
  <c r="Q309" i="2"/>
  <c r="Q245" i="2" s="1"/>
  <c r="Q58" i="2" l="1"/>
  <c r="P315" i="2" l="1"/>
  <c r="Q315" i="2"/>
  <c r="S315" i="2"/>
  <c r="T315" i="2"/>
  <c r="O314" i="2"/>
  <c r="O7" i="2" s="1"/>
  <c r="T149" i="2"/>
  <c r="S149" i="2"/>
  <c r="R149" i="2"/>
  <c r="P140" i="2"/>
  <c r="Q140" i="2"/>
  <c r="R140" i="2"/>
  <c r="S140" i="2"/>
  <c r="T140" i="2"/>
  <c r="Q149" i="2" l="1"/>
  <c r="P149" i="2"/>
  <c r="P79" i="2" l="1"/>
  <c r="R79" i="2"/>
  <c r="Q79" i="2"/>
  <c r="S79" i="2" l="1"/>
  <c r="T79" i="2"/>
  <c r="P9" i="2"/>
  <c r="P8" i="2" s="1"/>
  <c r="Q9" i="2"/>
  <c r="Q8" i="2" s="1"/>
  <c r="R9" i="2"/>
  <c r="R8" i="2" s="1"/>
  <c r="S9" i="2"/>
  <c r="T9" i="2"/>
  <c r="T8" i="2" l="1"/>
  <c r="S8" i="2"/>
  <c r="T320" i="2"/>
  <c r="T314" i="2" s="1"/>
  <c r="S320" i="2"/>
  <c r="S314" i="2" s="1"/>
  <c r="P320" i="2"/>
  <c r="P314" i="2" s="1"/>
  <c r="R320" i="2"/>
  <c r="Q320" i="2"/>
  <c r="Q314" i="2" s="1"/>
  <c r="Q7" i="2" s="1"/>
  <c r="S7" i="2" l="1"/>
  <c r="T7" i="2"/>
  <c r="P7" i="2"/>
  <c r="R314" i="2"/>
  <c r="R7" i="2" l="1"/>
</calcChain>
</file>

<file path=xl/sharedStrings.xml><?xml version="1.0" encoding="utf-8"?>
<sst xmlns="http://schemas.openxmlformats.org/spreadsheetml/2006/main" count="2128" uniqueCount="712">
  <si>
    <t xml:space="preserve">Код расхода по БК </t>
  </si>
  <si>
    <t>Объем средств на исполнение расходного обязательства</t>
  </si>
  <si>
    <t>Российской Федерации</t>
  </si>
  <si>
    <t>субъекта Российской Федерации</t>
  </si>
  <si>
    <t>текущий</t>
  </si>
  <si>
    <t>очередной</t>
  </si>
  <si>
    <t>плановый период</t>
  </si>
  <si>
    <t>раздел</t>
  </si>
  <si>
    <t>по плану</t>
  </si>
  <si>
    <t>(подпись)</t>
  </si>
  <si>
    <t>(расшифровка подписи)</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</si>
  <si>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</si>
  <si>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</si>
  <si>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</si>
  <si>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</si>
  <si>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</si>
  <si>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</si>
  <si>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2.1.22.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</si>
  <si>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12</t>
  </si>
  <si>
    <t>2.1.28.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</si>
  <si>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2.1.32.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</si>
  <si>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2.1.37.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</si>
  <si>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 владение, пользование и распоряжение имуществом, находящимся в муниципальной собственности городского округа</t>
  </si>
  <si>
    <t>2.1.19. организация библиотечного обслуживания населения, комплектование и обеспечение сохранности библиотечных фондов библиотек городского округа</t>
  </si>
  <si>
    <t>2.1.20. создание условий для организации досуга и обеспечения жителей городского округа услугами организаций культуры</t>
  </si>
  <si>
    <t>2.1.23.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</si>
  <si>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2.1.26. организация ритуальных услуг и содержание мест захоронения</t>
  </si>
  <si>
    <t>2.1.27.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</si>
  <si>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2.1.38. организация и осуществление мероприятий по работе с детьми и молодежью в городском округе</t>
  </si>
  <si>
    <t>2.1.44.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</si>
  <si>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</si>
  <si>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2.2.1. функционирование органов местного самоуправления</t>
  </si>
  <si>
    <t>2.2.10.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</si>
  <si>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</si>
  <si>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</si>
  <si>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2.3.1.13. осуществление мероприятий по отлову и содержанию безнадзорных животных, обитающих на территории городского округа</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</si>
  <si>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</si>
  <si>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2.3.3.1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</si>
  <si>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</si>
  <si>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2.4.2. за счет собственных доходов и источников финансирования дефицита бюджета городского округа, всего</t>
  </si>
  <si>
    <t>целевая статья</t>
  </si>
  <si>
    <t>муниципального образования</t>
  </si>
  <si>
    <t>номер статьи (подстатьи), пункта (подпункта)</t>
  </si>
  <si>
    <t>дата вступления в силу, срок действия</t>
  </si>
  <si>
    <t>Единица измерения: рубли</t>
  </si>
  <si>
    <t>наименование, номер и дата</t>
  </si>
  <si>
    <t>Наименование расходного обязательства, вопроса местного значения, полномочия, права  муниципального образования *</t>
  </si>
  <si>
    <t>вид расхода</t>
  </si>
  <si>
    <t>Федеральный закон от 06.10.2003 № 131-ФЗ "Об общих принципах организации местного самоуправления в Российской Федерации"</t>
  </si>
  <si>
    <t>в целом</t>
  </si>
  <si>
    <t>06.10.2003-не установлен</t>
  </si>
  <si>
    <t/>
  </si>
  <si>
    <t xml:space="preserve">РЕЕСТР РАСХОДНЫХ ОБЯЗАТЕЛЬСТВ МУНИЦИПАЛЬНОГО ОБРАЗОВАНИЯ ЗАТО г.СЕВЕРОМОРСК </t>
  </si>
  <si>
    <t>Решение Совета депутатов муниципального образования ЗАТО г. Североморск от 09.03.2010 № 593 "Об утверждении положения о денежном содержании муниципальных служащих ЗАТО г. Североморск"</t>
  </si>
  <si>
    <t>01</t>
  </si>
  <si>
    <t>04</t>
  </si>
  <si>
    <t>0710106010</t>
  </si>
  <si>
    <t>100</t>
  </si>
  <si>
    <t>2018 г.</t>
  </si>
  <si>
    <t>2019 г.</t>
  </si>
  <si>
    <t>13</t>
  </si>
  <si>
    <t>03201М2400</t>
  </si>
  <si>
    <t>200</t>
  </si>
  <si>
    <t>03202М2400</t>
  </si>
  <si>
    <t>03204М2400</t>
  </si>
  <si>
    <t>03205М2400</t>
  </si>
  <si>
    <t>0330313060</t>
  </si>
  <si>
    <t>03303М2990</t>
  </si>
  <si>
    <t>800</t>
  </si>
  <si>
    <t>Постановление администрации ЗАТО г. Североморск от 24.10.2013 № 1088 «Об утверждении муниципальной программы «Развитие муниципального управления и гражданского общества» на 2014-2020 годы</t>
  </si>
  <si>
    <t>Решение городского Совета ЗАТО г. Североморск от 14.03.2005 № 15 "О гарантиях и компенсациях гражданам в связи с работой и проживанием в экстремальных природно-климатических условиях Севера"</t>
  </si>
  <si>
    <t xml:space="preserve">Решение городского Совета ЗАТО г. Североморск от 14.03.2005 № 15 "О гарантиях и компенсациях гражданам в связи с работой и проживанием в экстремальных природно-климатических условиях Севера"
</t>
  </si>
  <si>
    <t>9020008400</t>
  </si>
  <si>
    <t>11</t>
  </si>
  <si>
    <t>90200М9130</t>
  </si>
  <si>
    <t>01401М8800</t>
  </si>
  <si>
    <t>07</t>
  </si>
  <si>
    <t>0510113060</t>
  </si>
  <si>
    <t>05101М0050</t>
  </si>
  <si>
    <t>90200S4000</t>
  </si>
  <si>
    <t>02</t>
  </si>
  <si>
    <t>05101М0060</t>
  </si>
  <si>
    <t>05101М0070</t>
  </si>
  <si>
    <t>05101М0080</t>
  </si>
  <si>
    <t>05101М1200</t>
  </si>
  <si>
    <t>05102М1270</t>
  </si>
  <si>
    <t>05102М1700</t>
  </si>
  <si>
    <t>05201S1040</t>
  </si>
  <si>
    <t>03</t>
  </si>
  <si>
    <t>05401М2240</t>
  </si>
  <si>
    <t>05401М1250</t>
  </si>
  <si>
    <t>09</t>
  </si>
  <si>
    <t>05102L0970</t>
  </si>
  <si>
    <t>05102М1100</t>
  </si>
  <si>
    <t>05102М1220</t>
  </si>
  <si>
    <t>05102М1260</t>
  </si>
  <si>
    <t>0510313060</t>
  </si>
  <si>
    <t>05103М0090</t>
  </si>
  <si>
    <t>05103М0100</t>
  </si>
  <si>
    <t>05103М0110</t>
  </si>
  <si>
    <t>0520113060</t>
  </si>
  <si>
    <t>05201М0180</t>
  </si>
  <si>
    <t>01502М2990</t>
  </si>
  <si>
    <t>9020006010</t>
  </si>
  <si>
    <t>05401М2190</t>
  </si>
  <si>
    <t>05102М1710</t>
  </si>
  <si>
    <t>600</t>
  </si>
  <si>
    <t>300</t>
  </si>
  <si>
    <t>400</t>
  </si>
  <si>
    <t>Постановление администрации ЗАТО г.Североморск от 16.12.2013 № 1309 «Об утверждении муниципальной программы «Развитие образования ЗАТО г.Североморск» на 2014-2020 годы»</t>
  </si>
  <si>
    <t>Постановление администрации ЗАТО г.Североморск от 16.12.2013 № 1306 «Об утверждении муниципальной программы «Улучшение качества и безопасности жизни населения» на 2014-2020 годы»</t>
  </si>
  <si>
    <t>Постановление администрации от 17.03.2016 № 236 "Об установлении муниципальных размеров расходов для предоставления бесплатного питания детям в детских оздоровительных лагерях с дневным пребыванием на базе образовательных учреждений ЗАТО г.Североморск в период школьных каникул в 2016 году"</t>
  </si>
  <si>
    <t>06102М1010</t>
  </si>
  <si>
    <t>06101М0080</t>
  </si>
  <si>
    <t>0610113060</t>
  </si>
  <si>
    <t>Приложение 1</t>
  </si>
  <si>
    <t>Постановление администрации ЗАТО г. Североморск № 904 от 07.11.08 "Об утверждении порядка компенсации расходов на оплату труда, стоимости проезда и провоза багажа к месту использования отпуска и обратно лицам, работающим в организациях, финансируемых из средств местного бюджета."</t>
  </si>
  <si>
    <t>п.1-8</t>
  </si>
  <si>
    <t>08</t>
  </si>
  <si>
    <t>06202М1010</t>
  </si>
  <si>
    <t>06202М1020</t>
  </si>
  <si>
    <t>10</t>
  </si>
  <si>
    <t>06</t>
  </si>
  <si>
    <t>06201М0130</t>
  </si>
  <si>
    <t>0620113060</t>
  </si>
  <si>
    <t>01502L0270</t>
  </si>
  <si>
    <t>Приложение 2</t>
  </si>
  <si>
    <t>Постановление администрации ЗАТО г. Североморск № 1088 от 24.10.13 "Об утверждении муниципальной программы «Развитие муниципального управления и гражданского общества» на 2014 - 2016 годы"</t>
  </si>
  <si>
    <t>Постановление администрации ЗАТО г. Североморск № 1306 от 16.12.13 "Об утверждении муниципальной программы "Улучшение качества и безопасности жизни населения" на 2014-2020 годы"</t>
  </si>
  <si>
    <t>Приложение 5</t>
  </si>
  <si>
    <t>06302М1010</t>
  </si>
  <si>
    <t>06302М1020</t>
  </si>
  <si>
    <t>06301М0120</t>
  </si>
  <si>
    <t>0630113060</t>
  </si>
  <si>
    <t>06301М1100</t>
  </si>
  <si>
    <t>06602М1020</t>
  </si>
  <si>
    <t>06601М0090</t>
  </si>
  <si>
    <t>0660113060</t>
  </si>
  <si>
    <t>Приложение 3</t>
  </si>
  <si>
    <t>Решение совета депутатов ЗАТО г. Североморск №403 от 30.04.13 "Об утверждении типового положения о служебных командировках в органах местного самоуправления ЗАТО г. Североморск"</t>
  </si>
  <si>
    <t>п.4.3, п. 4.12</t>
  </si>
  <si>
    <t>Приложение 4</t>
  </si>
  <si>
    <t>06401М1100</t>
  </si>
  <si>
    <t>06401М0140</t>
  </si>
  <si>
    <t>0640113060</t>
  </si>
  <si>
    <t>9010001010</t>
  </si>
  <si>
    <t>9010001030</t>
  </si>
  <si>
    <t>9010013060</t>
  </si>
  <si>
    <t>9010003010</t>
  </si>
  <si>
    <t>9010003030</t>
  </si>
  <si>
    <t>9010006010</t>
  </si>
  <si>
    <t xml:space="preserve"> Решение Совета депутатов от 12.04.2011 № 130 «О размерах месячного денежного содержания, замещающих муниципальные должности»</t>
  </si>
  <si>
    <t xml:space="preserve"> Постановление администрации ЗАТО от 13.06.2013 № 588 "О служебных командировках в муниципальных учреждениях ЗАТО г. Североморск"</t>
  </si>
  <si>
    <t>05</t>
  </si>
  <si>
    <t>Постановление администрации ЗАТО г. Североморск от 11.01.2016 года № 8 "Об утверждении муниципальной программы "Обеспечение комфортной городской среды в ЗАТО г. Североморск на 2016-2020 годы"</t>
  </si>
  <si>
    <t>04101М2520</t>
  </si>
  <si>
    <t>04102М2550</t>
  </si>
  <si>
    <t>04102М2560</t>
  </si>
  <si>
    <t>04102S0930</t>
  </si>
  <si>
    <t>04102М2580</t>
  </si>
  <si>
    <t>Постановление администрации ЗАТО г. Североморск от 11.01.2016 года № 8 "Об утверждении муниципальной программы "Обеспечение комфортной городской среды в ЗАТО г. Североморск на 2016-2020 годы",</t>
  </si>
  <si>
    <t xml:space="preserve"> Решение Совета депутатов ЗАТО г. Североморск четвертого созыва от 26.11.2013 года № 475 "О муниципальном дорожном фонде"</t>
  </si>
  <si>
    <t>04502М2670</t>
  </si>
  <si>
    <t>04502М2690</t>
  </si>
  <si>
    <t>Постановление администрации ЗАТО г. Североморск от 16.12.2013 года № 1306 "Об утверждении муниципальной программы "Улучшение качества жизни и безопасности населения на 2014-2016 годы</t>
  </si>
  <si>
    <t>90200М9510</t>
  </si>
  <si>
    <t>04604М0160</t>
  </si>
  <si>
    <t>04605М2780</t>
  </si>
  <si>
    <t>04606М2790</t>
  </si>
  <si>
    <t>04604М2770</t>
  </si>
  <si>
    <t>01802М2990</t>
  </si>
  <si>
    <t>01901М2990</t>
  </si>
  <si>
    <t>04201М2610</t>
  </si>
  <si>
    <t>04201М2620</t>
  </si>
  <si>
    <t>04201М2630</t>
  </si>
  <si>
    <t>04202М2990</t>
  </si>
  <si>
    <t>04601М2700</t>
  </si>
  <si>
    <t>04601М2710</t>
  </si>
  <si>
    <t>04601М2730</t>
  </si>
  <si>
    <t>04601М2740</t>
  </si>
  <si>
    <t>04603М2700</t>
  </si>
  <si>
    <t>04603М2730</t>
  </si>
  <si>
    <t>04603М2990</t>
  </si>
  <si>
    <t>04701М2800</t>
  </si>
  <si>
    <t>04701М2810</t>
  </si>
  <si>
    <t>04701М2840</t>
  </si>
  <si>
    <t>04703М2990</t>
  </si>
  <si>
    <t>90200М9520</t>
  </si>
  <si>
    <t>90100М9160</t>
  </si>
  <si>
    <t>9040013060</t>
  </si>
  <si>
    <t>90400М0010</t>
  </si>
  <si>
    <t>04301М2640</t>
  </si>
  <si>
    <t>04301М2990</t>
  </si>
  <si>
    <t>04302М2990</t>
  </si>
  <si>
    <t>04401М2990</t>
  </si>
  <si>
    <t>04602A5590</t>
  </si>
  <si>
    <t>03102М2990</t>
  </si>
  <si>
    <t>03105М2990</t>
  </si>
  <si>
    <t>03107М0030</t>
  </si>
  <si>
    <t>0310713060</t>
  </si>
  <si>
    <t>04501S0850</t>
  </si>
  <si>
    <t>06501М2990</t>
  </si>
  <si>
    <t xml:space="preserve">Постановления администрации ЗАТО г. Североморск  №1206 от 22.11.2013«Об утверждении муниципальной программы «Культура ЗАТО г.Североморск» на 2014-2020 годы»
</t>
  </si>
  <si>
    <t>Постановление администраци №1088 от 24.10.2013«Об утверждении муниципальной программы «Развитие муниципального управления и гражданского общества» на 2014-2020 годы»</t>
  </si>
  <si>
    <t>03103М2990</t>
  </si>
  <si>
    <t>03106М2990</t>
  </si>
  <si>
    <t>04502М2680</t>
  </si>
  <si>
    <t>Постановление администрации ЗАТО г.Североморск №8 от 11.01.2016г. Об утверждении муниципальной программы «Обеспечение комфортной городской среды
в ЗАТО г.Североморск» на 2016-2020 годы»</t>
  </si>
  <si>
    <t>9030005010</t>
  </si>
  <si>
    <t>9030006010</t>
  </si>
  <si>
    <t>9030006030</t>
  </si>
  <si>
    <t>9030013060</t>
  </si>
  <si>
    <t>14</t>
  </si>
  <si>
    <t>01601М2990</t>
  </si>
  <si>
    <t>01602М2990</t>
  </si>
  <si>
    <t>05104S4000</t>
  </si>
  <si>
    <t>01201М2990</t>
  </si>
  <si>
    <t>90200М9300</t>
  </si>
  <si>
    <t>90400М0020</t>
  </si>
  <si>
    <t>02102L0640</t>
  </si>
  <si>
    <t>02102М2990</t>
  </si>
  <si>
    <t>01101М2990</t>
  </si>
  <si>
    <t>01301М2990</t>
  </si>
  <si>
    <t>9020004010</t>
  </si>
  <si>
    <t>90200М9170</t>
  </si>
  <si>
    <t>03203S0570</t>
  </si>
  <si>
    <t>9050013060</t>
  </si>
  <si>
    <t>90500М0160</t>
  </si>
  <si>
    <t>90500М0040</t>
  </si>
  <si>
    <t>90500М1010</t>
  </si>
  <si>
    <t>90500М1030</t>
  </si>
  <si>
    <t>90500М1400</t>
  </si>
  <si>
    <t>90500М0170</t>
  </si>
  <si>
    <t>01401М8900</t>
  </si>
  <si>
    <t>01401М2990</t>
  </si>
  <si>
    <t>01401М8300</t>
  </si>
  <si>
    <t>01401М8510</t>
  </si>
  <si>
    <t>01402М8600</t>
  </si>
  <si>
    <t>01403М2990</t>
  </si>
  <si>
    <t>01403М8200</t>
  </si>
  <si>
    <t>01403М8210</t>
  </si>
  <si>
    <t>01403М8700</t>
  </si>
  <si>
    <t>01501М6060</t>
  </si>
  <si>
    <t xml:space="preserve">Решение Совета депутатов муниципального образования ЗАТО г. Североморск от 13.12.2011 № 218 "Устав муниципального образования "Закрытое административно-территориальное образование город Североморск" </t>
  </si>
  <si>
    <t>26.12.2011 не установлен</t>
  </si>
  <si>
    <t>Постановление администрации ЗАТО г.Североморск от 07.11.2008 № 904 "Об утверждении порядка компенсации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средств местного"</t>
  </si>
  <si>
    <t>Решение Совета депутатов от 10.04.2012 № 256 «Об утверждении Положения «О порядке управления и распоряжения имуществом, находящимся в собственности муниципального образования ЗАТО г. Североморск»</t>
  </si>
  <si>
    <t>подп.3, п. 9.1, ст.9</t>
  </si>
  <si>
    <t>подп.1, п. 9.1, ст.9</t>
  </si>
  <si>
    <t>01.01.2014-31.12.2020</t>
  </si>
  <si>
    <t>01.01.2014 - 31.12.2020</t>
  </si>
  <si>
    <t>Постановление администрации ЗАТО г.Североморск от 28.04.2016 № 495 "Об утверждении муниципальной программы "Создание условий для эффективного и ответственного управления муниципальными финансами, повышения устойчивости бюджета муниципального образования ЗАТО г.Североморск" на 2016-2020 годы"</t>
  </si>
  <si>
    <t>28.04.2016 - 31.12.2020</t>
  </si>
  <si>
    <t>прил.1</t>
  </si>
  <si>
    <t>прил.5</t>
  </si>
  <si>
    <t>прил. 2, 3</t>
  </si>
  <si>
    <t>подп.5, п. 9.1, ст.9</t>
  </si>
  <si>
    <t>Постановление администрации ЗАТО г.Североморск от 16.12.2013 № 1306 "Об утверждении муниципальной программы "Улучшение качества и безопасности жизни населения" на 2014-2020 годы"</t>
  </si>
  <si>
    <t>подп.6, п. 9.1, ст.9</t>
  </si>
  <si>
    <t>подп.15, п. 9.1, ст.9</t>
  </si>
  <si>
    <t>прил. 1</t>
  </si>
  <si>
    <t>прил.2, 3</t>
  </si>
  <si>
    <t>Постановление администрации ЗАТО г. Североморск от 15.06.2016 № 718 «Об оплате труда работников муниципальных бюджетных, автономных и казенных учреждений ЗАТО г.Североморск"</t>
  </si>
  <si>
    <t>подп.18, п. 9.1, ст.9</t>
  </si>
  <si>
    <t>Решение Совета депутатов ЗАТО г. Североморск №403 от 30.04.13 "Об утверждении типового положения о служебных командировках в органах местного самоуправления ЗАТО г. Североморск"</t>
  </si>
  <si>
    <t>подп.19, п. 9.1, ст.9</t>
  </si>
  <si>
    <t>подп.21, п. 9.1, ст.9</t>
  </si>
  <si>
    <t>подп.22, п. 9.1, ст.9</t>
  </si>
  <si>
    <t>подп.25, п. 9.1, ст.9</t>
  </si>
  <si>
    <t>прил.6</t>
  </si>
  <si>
    <t>Приложение 2, 6, 7</t>
  </si>
  <si>
    <t>Решение Совета депутатов ЗАТО г.Североморск от 02.04.2014 № 517 "Об утверждении Правил благоустройства территории муниципального образования ЗАТО г.Североморск"</t>
  </si>
  <si>
    <t>Постановление администрации ЗАТО г. Североморск от 11.01.2016 года №8 "Об утверждении муниципальной программы обеспечение комфортной городской среды в ЗАТО г. Североморск на 2016-2020 годы"</t>
  </si>
  <si>
    <t>подп.26, п. 9.1, ст.9</t>
  </si>
  <si>
    <t>подп.27, п. 9.1, ст.9</t>
  </si>
  <si>
    <t>подп.34, п. 9.1, ст.9</t>
  </si>
  <si>
    <t>Приложение 6</t>
  </si>
  <si>
    <t>подп.35, п. 9.1, ст.9</t>
  </si>
  <si>
    <t>Постановление администрации ЗАТО г.Североморск от 24.10.2013 № 1087 "Об утверждении муниципальной программы "Развитие конкурентоспособной экономики ЗАТО г.Североморск" на 2014 - 2020 годы"</t>
  </si>
  <si>
    <t>Постановление администрации ЗАТО г.Североморск от 24.09.2013 № 965 "Об утверждении Порядка предоставления грантов начинающим предпринимателям на создание собственного бизнеса по результатам конкурса бизнес-планов"</t>
  </si>
  <si>
    <t>подп.36, п. 9.1, ст.9</t>
  </si>
  <si>
    <t>Приложение 1, 3</t>
  </si>
  <si>
    <t>подп.46, п. 9.1, ст.9</t>
  </si>
  <si>
    <t>Прил. 2, 3, 4</t>
  </si>
  <si>
    <t>Решение Совета депутатов муниципального образования ЗАТО г. Североморск от 24.05.2011 № 150 "Об утверждении Порядка назначения, выплаты и финансирования пенсии за выслугу лет муниципальным служащим муниципального образования ЗАТО г. Североморск"</t>
  </si>
  <si>
    <t>Постановление администрации ЗАТО г.Североморск от 25.12.2013 № 1358 "Об организации деятельности Многофункционального центра предоставления государственных и муниципальных услуг по принципу «одного окна» на территории ЗАТО г.Североморск"</t>
  </si>
  <si>
    <t>25.12.2013-не установлен</t>
  </si>
  <si>
    <t>Постановление администрации ЗАТО г.Североморск от 03.06.2013 № 546 "О создании путем учреждения Муниципального бюджетного учреждения "Административно-хозяйственное и транспортное обслуживание""</t>
  </si>
  <si>
    <t>03.06.2013-не установлен</t>
  </si>
  <si>
    <t>Прил. 2</t>
  </si>
  <si>
    <t>прил. 5</t>
  </si>
  <si>
    <t>ст.15</t>
  </si>
  <si>
    <t>Закон Мурманской области от 27.05.2014 № 841-01-ЗМО "О выборах депутатов представительных органов муниципальных образований"</t>
  </si>
  <si>
    <t>09.03.2007-не установлен</t>
  </si>
  <si>
    <t>прил. 3, 4</t>
  </si>
  <si>
    <t>подп.13, п. 10.1, ст.10</t>
  </si>
  <si>
    <t>Приложение 4, 5</t>
  </si>
  <si>
    <t>под-раздел</t>
  </si>
  <si>
    <t>09.05.2013 - не установлен</t>
  </si>
  <si>
    <t>21.06.2013 - не установлен</t>
  </si>
  <si>
    <t>23.12.2011 не установлен</t>
  </si>
  <si>
    <t>01.01.2016 - 31.12.2020</t>
  </si>
  <si>
    <t>10.04.2012 - не установлен</t>
  </si>
  <si>
    <t>29.11.2013 - не установлен</t>
  </si>
  <si>
    <t>25.03.2016</t>
  </si>
  <si>
    <t>Постановление администрации ЗАТО г. Североморск №1206 от 22.11.13 "Об утверждении муниципальной программы "Культура ЗАТО г. Североморск" на 2014-2020 годы"</t>
  </si>
  <si>
    <t>07.10.2016 - не установлен</t>
  </si>
  <si>
    <t>Постановление администрации ЗАТО г. Североморск от 19.02.2016 № 152 «Об утверждении титульного списка капитального строительства объектов социальной сферы и инженерной инфраструктуры ЗАТО г.Североморск на 2016-2017 года"</t>
  </si>
  <si>
    <t>24.06.2016 - не установлен</t>
  </si>
  <si>
    <t>19.02.2016 - 31.12.2017</t>
  </si>
  <si>
    <t>Постановление администрации ЗАТО г. Североморск № 1088 от 24.10.13 "Об утверждении муниципальной программы «Развитие муниципального управления и гражданского общества» на 2014 - 2020 годы"</t>
  </si>
  <si>
    <t>04.04.2014-не установлен</t>
  </si>
  <si>
    <t>04.10.2013-не установлен</t>
  </si>
  <si>
    <t>26.03.2010 не установлен</t>
  </si>
  <si>
    <t>28.12.2012 - не установлен</t>
  </si>
  <si>
    <t>18.03.2005 - не установлен</t>
  </si>
  <si>
    <t>Постановление администрации ЗАТО г.Североморск от 26.02.2015 № 192 "Об утверждении Положения о порядке использования бюджетных ассигновапний резервного фонда администрации ЗАТО г.Североморск"</t>
  </si>
  <si>
    <t>06.03.2015 - не установлен</t>
  </si>
  <si>
    <t>15.04.2011 - не установлен</t>
  </si>
  <si>
    <t>21.11.2008 - не установлен</t>
  </si>
  <si>
    <t xml:space="preserve"> Решение Совета депутатов от 09.10.12 № 301 "Об утверждении Положения о возмещении депутатам Совета депутатов ЗАТО г. Североморск расходов, связанных с депутатской деятельностью"</t>
  </si>
  <si>
    <t>12.10.2012 - не установлен</t>
  </si>
  <si>
    <t>27.05.2011</t>
  </si>
  <si>
    <t>Постановление Администрации МО ЗАТО город Североморск от 07.11.2008 N 904
"Об утверждении Порядка компенсации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средств местного бюджета муниципального образования ЗАТО г. Североморск, и неработающим членам их семей"</t>
  </si>
  <si>
    <t>04.04.2010 не установлен</t>
  </si>
  <si>
    <t xml:space="preserve">
Решение Совета депутатов ЗАТО г.Североморск от 10.03.2015 N 622 "Об утверждении Положения об оказании поддержки социально ориентированным некоммерческим организациям в муниципальном образовании ЗАТО г. Североморск"
</t>
  </si>
  <si>
    <t>13.03.2015- не установлен</t>
  </si>
  <si>
    <t>Постановление администрации ЗАТО г.Североморск от 22.04.2014 № 375 "О дополнительных мерах социальной поддержки ветеранов Великой Отечественной войны"</t>
  </si>
  <si>
    <t>08.05.2014 - не установлен</t>
  </si>
  <si>
    <t>Постановление администрации ЗАТО г.Североморск от 27.04.2015 N 406 "Об утверждении Порядка предоставления социальной поддержки по возмещению расходов по проезду в государственные областные медицинские организации Мурманской области, находящиеся за пределами территории проживания, отдельным категориям граждан"</t>
  </si>
  <si>
    <t>Постановление администрации ЗАТО г.Североморск от 26.02.2014 № 143 "О дополнительных мерах социальной поддержки отдельных категорий граждан"</t>
  </si>
  <si>
    <t>07.03.2014 - не установлен</t>
  </si>
  <si>
    <t>Постановление администрации муниципального образования ЗАТО г. Североморск от 11.03.2010 № 175 "О мерах социальной поддержки почетных граждан города Североморска"</t>
  </si>
  <si>
    <t>01.01.2010 - не установлен</t>
  </si>
  <si>
    <t>90500М1020</t>
  </si>
  <si>
    <t>прил.7,8</t>
  </si>
  <si>
    <t>прил. 4, 5, 8</t>
  </si>
  <si>
    <t>Приложение 5, 8</t>
  </si>
  <si>
    <t>Приложение 7</t>
  </si>
  <si>
    <t>Постановление администрации ЗАТО г. Североморск от 19.12.2012 № 1214 "Об утверждении Положения о порядке оплаты расходов, связанных с переездом отдельных категорий граждан из ЗАТО г. Североморск на новое место жительства"</t>
  </si>
  <si>
    <t>2.1.29.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</si>
  <si>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подп.28, п. 9.1, ст.9</t>
  </si>
  <si>
    <t>Постановление администрации ЗАТО г.Североморск от 15.08.2011 № 630 "О создании муниципального казенного учреждения "Городской центр жилищно-коммунального хозяйства ЗАТО г.Североморск"</t>
  </si>
  <si>
    <t>15.08.2011 - не установлен</t>
  </si>
  <si>
    <t>Решение Совета депутатов ЗАТО город Североморск от 26.11.2013 N 476 "Об утверждении "Правил землепользования и застройки населенных пунктов, входящих в состав муниципального образования ЗАТО г. Североморск"</t>
  </si>
  <si>
    <t xml:space="preserve">Постановление Администрации МО ЗАТО город Североморск от 29.10.2012 N 966 "Об автомобильных дорогах общего пользования местного значения муниципального образования ЗАТО г. Североморск" </t>
  </si>
  <si>
    <t>09.11.2012 - не установлен</t>
  </si>
  <si>
    <t xml:space="preserve">Постановление Администрации ЗАТО город Североморск от 01.02.2016 N 73 "Об утверждении стоимости услуг по погребению на территории ЗАТО г. Североморск" </t>
  </si>
  <si>
    <t>05.02.2016</t>
  </si>
  <si>
    <t xml:space="preserve">Постановление Администрации МО ЗАТО город Североморск от 06.12.2012 N 1159 "Об утверждении Положения об отделе по делам гражданской обороны и чрезвычайным ситуациям администрации ЗАТО г. Североморск" </t>
  </si>
  <si>
    <t>14.12.2012 - не установлен</t>
  </si>
  <si>
    <t xml:space="preserve">Постановление Администрации ЗАТО город Североморск от 08.04.2016 N 403 "Об организации отдыха, оздоровления и занятости детей и молодежи в 2016 году" </t>
  </si>
  <si>
    <t>15.04.2016</t>
  </si>
  <si>
    <t xml:space="preserve">Решение Совета депутатов ЗАТО город Североморск от 02.04.2014 N 517 "Об утверждении Правил благоустройства территории муниципального образования ЗАТО г. Североморск" </t>
  </si>
  <si>
    <t>04.04.2014</t>
  </si>
  <si>
    <t xml:space="preserve">Постановление Администрации ЗАТО город Североморск от 31.03.2015 N 314 "Об утверждении Комплекса мер ("дорожной карты") по развитию жилищно-коммунального хозяйства на территории ЗАТО г. Североморск" </t>
  </si>
  <si>
    <t>10.04.2015</t>
  </si>
  <si>
    <t>Агаркова О.Н.</t>
  </si>
  <si>
    <t>по факту                   исполнения</t>
  </si>
  <si>
    <t>Начальник Управления финансов</t>
  </si>
  <si>
    <t>0330106030</t>
  </si>
  <si>
    <t>отчетный  2016 г.</t>
  </si>
  <si>
    <t>2017 г.                                     ( на 01.09.2016)</t>
  </si>
  <si>
    <t>2020 г.</t>
  </si>
  <si>
    <t>2.2.6. финансирование муниципальных учреждений</t>
  </si>
  <si>
    <t>2.2.2. расходы на обслуживание муниципального долга</t>
  </si>
  <si>
    <t>0320370570</t>
  </si>
  <si>
    <t>0520171040</t>
  </si>
  <si>
    <t>0510250970</t>
  </si>
  <si>
    <t>0310106010</t>
  </si>
  <si>
    <t>90200М9100</t>
  </si>
  <si>
    <t>0450170850</t>
  </si>
  <si>
    <t xml:space="preserve">Федеральный закон №131-ФЗ от 06.10.2003 "Об общих принципах организации местного самоуправления в Российской Федерации"
</t>
  </si>
  <si>
    <t xml:space="preserve"> ст.16, п.1, подп.3
</t>
  </si>
  <si>
    <t xml:space="preserve">06.10.2003-не установлен
</t>
  </si>
  <si>
    <t xml:space="preserve">Федеральный закон №136-ФЗ от 25.10.2001 "Земельный кодекс Российской Федерации"
</t>
  </si>
  <si>
    <t xml:space="preserve"> ст.11
</t>
  </si>
  <si>
    <t xml:space="preserve">30.10.2001-не установлен
</t>
  </si>
  <si>
    <t xml:space="preserve"> ст.16, п.1, подп.1
</t>
  </si>
  <si>
    <t xml:space="preserve">Федеральный закон №6-ФЗ от 07.02.2011 ""Об общих принципах организации и деятельности контрольно-счетных органов субъектов Российской Федерации и муниципальных образований""
</t>
  </si>
  <si>
    <t xml:space="preserve">в целом
</t>
  </si>
  <si>
    <t xml:space="preserve">07.02.2011-не установлен
</t>
  </si>
  <si>
    <t xml:space="preserve">Федеральный закон №25-ФЗ от 02.03.2007 "О муниципальной службе в Российской Федерации"
</t>
  </si>
  <si>
    <t xml:space="preserve"> ст.34
</t>
  </si>
  <si>
    <t xml:space="preserve">01.06.2007-не установлен
</t>
  </si>
  <si>
    <t xml:space="preserve">Закон Мурманской области №860-01-ЗМО от 29.06.2007 "О муниципальной службе в Мурманской области"
</t>
  </si>
  <si>
    <t xml:space="preserve"> ст.34, 
</t>
  </si>
  <si>
    <t xml:space="preserve">01.07.2007-не установлен
</t>
  </si>
  <si>
    <t xml:space="preserve">Закон Мурманской области №579-01-ЗМО от 29.12.2004 "О государственных гарантиях и компенсациях, правовое регулирование которых отнесено к полномочиям органов государственной власти Мурманской области, для лиц, работающих и проживающих в районах Крайнего Севера"
</t>
  </si>
  <si>
    <t xml:space="preserve">30.12.2004-не установлен
</t>
  </si>
  <si>
    <t xml:space="preserve">Закон Мурманской области №462-01-ЗМО от 31.12.2003 "Об основах регулирования земельных отношений в Мурманской области"
</t>
  </si>
  <si>
    <t xml:space="preserve"> ст.6, 
</t>
  </si>
  <si>
    <t xml:space="preserve">13.02.2004-не установлен
</t>
  </si>
  <si>
    <t xml:space="preserve">Постановление Правительства Мурманской области №550-ПП от 30.11.2015 "Об установлении минимального размера взноса на капитальный ремонт общего имущества в многоквартирных домах, расположенных на территории Мурманской области, на 2016 - 2017 год"
</t>
  </si>
  <si>
    <t xml:space="preserve">02.12.2015-не установлен
</t>
  </si>
  <si>
    <t xml:space="preserve">Постановление Правительства Мурманской области №571-ПП от 30.09.2013 "О государственной программе Мурманской области "Обеспечение комфортной среды проживания населения региона"
</t>
  </si>
  <si>
    <t xml:space="preserve">11.10.2013-не установлен
</t>
  </si>
  <si>
    <t xml:space="preserve">Постановление Правительства Мурманской области №243-ПП от 12.05.2014 "Об оплате труда работников областных бюджетных, автономных и казенных учреждений Мурманской области"
</t>
  </si>
  <si>
    <t xml:space="preserve"> п.7
</t>
  </si>
  <si>
    <t xml:space="preserve">12.05.2014-не установлен
</t>
  </si>
  <si>
    <t xml:space="preserve"> ст.16, п.1, подп.5
</t>
  </si>
  <si>
    <t xml:space="preserve">Федеральный закон №196-ФЗ от 10.12.1995 "О безопасности дорожного движения"
</t>
  </si>
  <si>
    <t xml:space="preserve"> ст.6, п.4
</t>
  </si>
  <si>
    <t xml:space="preserve">11.12.1995-не установлен
</t>
  </si>
  <si>
    <t xml:space="preserve">Федеральный закон №257-ФЗ от 08.11.2007 "Об автомобильных дорогах и о дорожной деятельности в Росссийской Федерации и о внесении изменений в отдельные законодательные акты Российской Федерации"
</t>
  </si>
  <si>
    <t xml:space="preserve">12.11.2007-не установлен
</t>
  </si>
  <si>
    <t xml:space="preserve">Постановление Правительства  Мурманской области №556-ПП от 30.09.2013 "О государственной программе Мурманской области "Развитие транспортной системы""
</t>
  </si>
  <si>
    <t xml:space="preserve">09.10.2013-не установлен
</t>
  </si>
  <si>
    <t xml:space="preserve"> ст.16, п.1, подп.6
</t>
  </si>
  <si>
    <t xml:space="preserve">Постановление Правительства Российской Федерации №491 от 13.08.2006 "Об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t>
  </si>
  <si>
    <t xml:space="preserve">13.08.2006-не установлен
</t>
  </si>
  <si>
    <t xml:space="preserve">Закон Мурманской области №1553-01-ЗМО от 18.12.2012 "О муниципальном жилищном контроле и взаимодействии органов муниципального жилищного контроля с органом государственного жилищного надзора Мурманской области"
</t>
  </si>
  <si>
    <t xml:space="preserve"> ст.3, 
</t>
  </si>
  <si>
    <t xml:space="preserve">05.01.2013-не установлен
</t>
  </si>
  <si>
    <t xml:space="preserve"> ст.16, п.1, подп.13
</t>
  </si>
  <si>
    <t xml:space="preserve">Федеральный закон №273-ФЗ от 29.12.2012 "Об образовании в Российской Федерации"
</t>
  </si>
  <si>
    <t xml:space="preserve"> ст.9
</t>
  </si>
  <si>
    <t xml:space="preserve">30.12.2012-не установлен
</t>
  </si>
  <si>
    <t xml:space="preserve">Указ Президента Российской Федерации №597 от 07.05.2012 "О мероприятиях по реализации государственной социальной политики"
</t>
  </si>
  <si>
    <t xml:space="preserve">07.05.2012-не установлен
</t>
  </si>
  <si>
    <t xml:space="preserve">Закон Мурманской области №561-01-ЗМО от 27.12.2004 "О мерах социальной поддержки отдельных категорий граждан, работающих в сельских населенных пунктах или поселках городского типа"
</t>
  </si>
  <si>
    <t xml:space="preserve">01.01.2005-не установлен
</t>
  </si>
  <si>
    <t xml:space="preserve">Закон Мурманской области №1649-01-ЗМО от 28.06.2013 "Об образовании в Мурманской области"
</t>
  </si>
  <si>
    <t xml:space="preserve"> ст.8, 
</t>
  </si>
  <si>
    <t xml:space="preserve">01.09.2013-не установлен
</t>
  </si>
  <si>
    <t xml:space="preserve">Постановление Правительства Мурманской области №568-ПП от 30.09.2013 "Об утверждении государственной программы Мурманской области "Развитие образования""
</t>
  </si>
  <si>
    <t xml:space="preserve">Постановление Правительства Российской Федерации №295 от 15.04.2014 "Об утверждении государственной программы Российской Федерации «Развитие образования» на 2013 - 2020 годы"
</t>
  </si>
  <si>
    <t xml:space="preserve">01.05.2014-не установлен
</t>
  </si>
  <si>
    <t xml:space="preserve"> ст.16, п.1, подп.16
</t>
  </si>
  <si>
    <t xml:space="preserve">Федеральный закон №78-ФЗ от 29.12.1994 "О библиотечном деле"
</t>
  </si>
  <si>
    <t xml:space="preserve"> ст.15, п.2
</t>
  </si>
  <si>
    <t xml:space="preserve">02.01.1995-не установлен
</t>
  </si>
  <si>
    <t xml:space="preserve">Постановление Правительства Российской Федерации №317 от 15.04.2014 "Об утверждении государственной программы Российской Федерации «Развитие культуры и туризма» на 2013 - 2020 годы"
</t>
  </si>
  <si>
    <t xml:space="preserve">Закон Мурманской области №83-01-ЗМО от 21.11.1997 "О библиотечном деле в Мурманской области"
</t>
  </si>
  <si>
    <t xml:space="preserve"> ст.14.3, 
</t>
  </si>
  <si>
    <t xml:space="preserve">09.12.1997-не установлен
</t>
  </si>
  <si>
    <t xml:space="preserve"> ст.16, п.1, подп.17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</si>
  <si>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</si>
  <si>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</si>
  <si>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</si>
  <si>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Российской Федерации №1297 от 01.12.2015 "Об утверждении государственной программы Российской Федерации «Доступная среда» на 2011 - 2020 годы"
</t>
  </si>
  <si>
    <t xml:space="preserve">01.01.2016-не установлен
</t>
  </si>
  <si>
    <t xml:space="preserve">Закон Мурманской области №194-01-ЗМО от 04.05.2000 "О культуре"
</t>
  </si>
  <si>
    <t xml:space="preserve"> ст.11, 
</t>
  </si>
  <si>
    <t xml:space="preserve">16.05.2000-не установлен
</t>
  </si>
  <si>
    <t xml:space="preserve"> ст.16, п.1, подп.18
</t>
  </si>
  <si>
    <t xml:space="preserve">Закон Мурманской области №801-01-ЗМО от 26.10.2006 ""Об объектах культурного наследия (памятники истории и культуры) в Мурманской области"
</t>
  </si>
  <si>
    <t xml:space="preserve"> ст.7, 
</t>
  </si>
  <si>
    <t xml:space="preserve">02.11.2006-не установлен
</t>
  </si>
  <si>
    <t xml:space="preserve"> ст.16, п.1, подп.19
</t>
  </si>
  <si>
    <t xml:space="preserve">Федеральный закон №329-ФЗ от 04.12.2007 "О физической культуре и спорте в Российской Федерации"
</t>
  </si>
  <si>
    <t xml:space="preserve">30.03.2008-не установлен
</t>
  </si>
  <si>
    <t xml:space="preserve">Закон Мурманской области №1297-01-ЗМО от 27.12.2010 "О физической культуре и спорте в Мурманской области"
</t>
  </si>
  <si>
    <t xml:space="preserve">28.12.2010-не установлен
</t>
  </si>
  <si>
    <t xml:space="preserve"> ст.16, п.1, подп.23
</t>
  </si>
  <si>
    <t xml:space="preserve">Федеральный закон №8-ФЗ от 12.01.1996 "О погребении и похоронном деле"
</t>
  </si>
  <si>
    <t xml:space="preserve"> ст.26
</t>
  </si>
  <si>
    <t xml:space="preserve">15.01.1996-не установлен
</t>
  </si>
  <si>
    <t xml:space="preserve"> ст.16, п.1, подп.11
</t>
  </si>
  <si>
    <t xml:space="preserve">Федеральный закон №89-ФЗ от 24.06.1998 "Об отходах производства и потребления"
</t>
  </si>
  <si>
    <t xml:space="preserve"> ст.8
</t>
  </si>
  <si>
    <t xml:space="preserve">30.06.1998-не установлен
</t>
  </si>
  <si>
    <t xml:space="preserve">Федеральный закон №7-ФЗ от 10.01.2001 "Об охране окружающей среды"
</t>
  </si>
  <si>
    <t xml:space="preserve"> ст.7, п.3
</t>
  </si>
  <si>
    <t xml:space="preserve">12.01.2002-не установлен
</t>
  </si>
  <si>
    <t xml:space="preserve">Постановление Правительства Мурманской области №244-ПП от 11.06.2015 "Об организации и осуществлении регионального государственного экологического надзора на территории Мурманской области"
</t>
  </si>
  <si>
    <t xml:space="preserve">19.06.2015-не установлен
</t>
  </si>
  <si>
    <t xml:space="preserve"> ст.16, п.1, подп.25
</t>
  </si>
  <si>
    <t xml:space="preserve"> ст.16, п.1, подп.26
</t>
  </si>
  <si>
    <t xml:space="preserve">Федеральный закон №190-ФЗ от 29.12.2004 "Градостроительный кодекс Российской Федерации"
</t>
  </si>
  <si>
    <t xml:space="preserve">Федеральный закон №416-ФЗ от 07.12.2011 "О водоснабжении и водоотведении"
</t>
  </si>
  <si>
    <t xml:space="preserve"> ст.6
</t>
  </si>
  <si>
    <t xml:space="preserve">01.01.2013-не установлен
</t>
  </si>
  <si>
    <t xml:space="preserve">Закон Мурманской области №867-01-ЗМО от 10.07.2007 ""О регулировании градостроительной деятельности на территории Мурманской области""
</t>
  </si>
  <si>
    <t xml:space="preserve"> ст.6.1, 
</t>
  </si>
  <si>
    <t xml:space="preserve">17.07.2007-не установлен
</t>
  </si>
  <si>
    <t xml:space="preserve"> ст.16, п.1, подп.28
</t>
  </si>
  <si>
    <t xml:space="preserve">Федеральный закон №28-ФЗ от 26.12.1997 "О гражданской обороне"
</t>
  </si>
  <si>
    <t xml:space="preserve"> ст.8, п.2
</t>
  </si>
  <si>
    <t xml:space="preserve">12.02.1998-не установлен
</t>
  </si>
  <si>
    <t xml:space="preserve">Закон Мурманской области №585-01-ЗМО от 29.12.2004 "О защите населения и территорий Мурманской области от чрезвычайных ситуаций природного и техногенного характера"
</t>
  </si>
  <si>
    <t xml:space="preserve"> ст.10, 
</t>
  </si>
  <si>
    <t xml:space="preserve"> ст.16, п.1, подп.33
</t>
  </si>
  <si>
    <t xml:space="preserve">Федеральный закон №209-ФЗ от 24.07.2007 "О развитии малого и среднего предпринимательства в Российской Федерации"
</t>
  </si>
  <si>
    <t xml:space="preserve">01.01.2008-не установлен
</t>
  </si>
  <si>
    <t xml:space="preserve">Постановление Правительства Российской Федерации №316 от 15.04.2014 "Об утверждении государственной программы Российской Федерации «Экономическое развитие и инновационная экономика»"
</t>
  </si>
  <si>
    <t xml:space="preserve">01.05.2015-не установлен
</t>
  </si>
  <si>
    <t xml:space="preserve">Закон Мурманской области №31-02-ЗМО от 05.07.1996 "Об основах государственной поддержки малого предпринимательствав Мурманской области"
</t>
  </si>
  <si>
    <t xml:space="preserve">12.07.1996-не установлен
</t>
  </si>
  <si>
    <t xml:space="preserve">Закон Мурманской области №977-01-ЗМО от 27.05.2008 "О содействии развитию и государственной поддержке малого и среднего предпринимательства в Мурманской области"
</t>
  </si>
  <si>
    <t xml:space="preserve">29.05.2008-не установлен
</t>
  </si>
  <si>
    <t xml:space="preserve">Закон Мурманской области №1395-01-ЗМО от 13.10.2011 "О некоторых вопросах в области регулирования торговой деятельности на территории Мурманской области"
</t>
  </si>
  <si>
    <t xml:space="preserve">18.10.2011-не установлен
</t>
  </si>
  <si>
    <t xml:space="preserve"> ст.16, п.1, подп.34
</t>
  </si>
  <si>
    <t xml:space="preserve">Федеральный закон №98-ФЗ от 28.06.1995 "О государственной поддержке молодежных и детских общественных объединений"
</t>
  </si>
  <si>
    <t xml:space="preserve">03.07.1995-не установлен
</t>
  </si>
  <si>
    <t xml:space="preserve">Закон Мурманской области №953-01-ЗМО от 16.04.2008 "Об основах организации отдыха, оздоровления и занятости детей в Мурманской области"
</t>
  </si>
  <si>
    <t xml:space="preserve"> ст.14, 
</t>
  </si>
  <si>
    <t xml:space="preserve">24.04.2008-не установлен
</t>
  </si>
  <si>
    <t xml:space="preserve">Постановление Правительства Мурманской области №80-ПП от 26.02.2016 ""Об организации отдыха, оздоровления и занятости детей и молодежи Мурманской области""
</t>
  </si>
  <si>
    <t xml:space="preserve"> ст.10
</t>
  </si>
  <si>
    <t xml:space="preserve">29.02.2016-не установлен
</t>
  </si>
  <si>
    <t xml:space="preserve"> ст.17, п.1, подп.9
</t>
  </si>
  <si>
    <t xml:space="preserve">08.10.2003-не установлен
</t>
  </si>
  <si>
    <t xml:space="preserve">Постановление Правительства Мурманской области №272-ПП от 08.06.2012 "Об утверждении порядка предоставления (использования, возврата) бюджетных кредитов местным бюджетам (бюджетам муниципальных образований Мурманской области) из областного бюджета Мурманской области"
</t>
  </si>
  <si>
    <t xml:space="preserve">28.06.2012-не установлен
</t>
  </si>
  <si>
    <t xml:space="preserve"> ст.17, п.1, подп.3
</t>
  </si>
  <si>
    <t xml:space="preserve"> ст.17, п.1, подп.4.2
</t>
  </si>
  <si>
    <t xml:space="preserve">Федеральный закон №190-ФЗ от 27.07.2010 "О теплоснабжении"
</t>
  </si>
  <si>
    <t xml:space="preserve"> ст.6, п.1
</t>
  </si>
  <si>
    <t xml:space="preserve">30.07.2010-не установлен
</t>
  </si>
  <si>
    <t xml:space="preserve"> ст.17, п.1, подп.5
</t>
  </si>
  <si>
    <t>2.2.17.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</si>
  <si>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 xml:space="preserve"> ст.17, п.1, подп.8.2
</t>
  </si>
  <si>
    <t xml:space="preserve">Федеральный закон №261-ФЗ от 23.11.2009 "Об энегосбережении и повышении энергетической эффективности и о внесении изменений в Федеральные законодательные акты Российской Федерации"
</t>
  </si>
  <si>
    <t xml:space="preserve">27.11.2009-не установлен
</t>
  </si>
  <si>
    <t xml:space="preserve">Закон Мурманской области №1432-01-ЗМО от 01.12.2011 "Об энергосбережении и о повышении энергетической эффективности на территории Мурманской области"
</t>
  </si>
  <si>
    <t xml:space="preserve">08.12.2011-не установлен
</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</si>
  <si>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</si>
  <si>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 xml:space="preserve"> ст.16.1, п.1, подп.11
</t>
  </si>
  <si>
    <t xml:space="preserve">Федеральный закон №181-ФЗ от 24.11.1995 "О социальной защите инвалидов в Российской Федерации"
</t>
  </si>
  <si>
    <t xml:space="preserve"> ст.33
</t>
  </si>
  <si>
    <t xml:space="preserve">27.11.1995-не установлен
</t>
  </si>
  <si>
    <t xml:space="preserve">ЗМО №573-01-ЗМО от 29.12.2004 ""О социальной защите и мерах социальной поддержки инвалидов в Мурманской области""
</t>
  </si>
  <si>
    <t xml:space="preserve"> ст.2.6
</t>
  </si>
  <si>
    <t xml:space="preserve"> ст.16.1, п.1, подп.15
</t>
  </si>
  <si>
    <t xml:space="preserve">Федеральный закон №52-ФЗ от 24.04.1995 ""О животном мире""
</t>
  </si>
  <si>
    <t xml:space="preserve">24.04.1995-не установлен
</t>
  </si>
  <si>
    <t xml:space="preserve">Закон Мурманской области №432-01-ЗМО от 13.11.2003 "О содержании животных"
</t>
  </si>
  <si>
    <t xml:space="preserve">01.12.2003-не установлен
</t>
  </si>
  <si>
    <t xml:space="preserve"> ст.20, п.5
</t>
  </si>
  <si>
    <t xml:space="preserve"> ст.19, п.5
</t>
  </si>
  <si>
    <t xml:space="preserve">Закон Мурманской области №441-01-ЗМО от 20.11.2003 "О наделении органов местного самоуправления муниципальных образований полномочиями на государственную регистрацию актов гражданского состояния"
</t>
  </si>
  <si>
    <t xml:space="preserve"> ст.4, , п.2
</t>
  </si>
  <si>
    <t xml:space="preserve">26.11.2003-не установлен
</t>
  </si>
  <si>
    <t>2.4.1. за счет субвенций, предоставленных из федерального бюджета или бюджета субъекта Российской Федерации, всего</t>
  </si>
  <si>
    <t>06101М1100</t>
  </si>
  <si>
    <t>0510474000</t>
  </si>
  <si>
    <t>06602М1010</t>
  </si>
  <si>
    <t>0150250270</t>
  </si>
  <si>
    <t>0210250640</t>
  </si>
  <si>
    <t>02201М2990</t>
  </si>
  <si>
    <t>2.2.9. полномочиями по организации теплоснабжения, предусмотренными Федеральным законом «О теплоснабжении»</t>
  </si>
  <si>
    <t>90200С9300</t>
  </si>
  <si>
    <t>0410270930</t>
  </si>
  <si>
    <t>04603М2710</t>
  </si>
  <si>
    <t>07102М9140</t>
  </si>
  <si>
    <t>700</t>
  </si>
  <si>
    <t>0330105030</t>
  </si>
  <si>
    <t>0330104030</t>
  </si>
  <si>
    <t>0330206030</t>
  </si>
  <si>
    <t>90200М9090</t>
  </si>
  <si>
    <t>9010002010</t>
  </si>
  <si>
    <t>9010002030</t>
  </si>
  <si>
    <t>04501М2650</t>
  </si>
  <si>
    <t>0510171100</t>
  </si>
  <si>
    <t>05101S1100</t>
  </si>
  <si>
    <t>0540171070</t>
  </si>
  <si>
    <t>05401М1230</t>
  </si>
  <si>
    <t>05102М1210</t>
  </si>
  <si>
    <t>0610171100</t>
  </si>
  <si>
    <t>06101S1100</t>
  </si>
  <si>
    <t>06102М1020</t>
  </si>
  <si>
    <t>06201S1100</t>
  </si>
  <si>
    <t>0620171100</t>
  </si>
  <si>
    <t>06202R5190</t>
  </si>
  <si>
    <t>06202L5190</t>
  </si>
  <si>
    <t>0630171100</t>
  </si>
  <si>
    <t>06301S1100</t>
  </si>
  <si>
    <t>03401М6060</t>
  </si>
  <si>
    <t>01603М2310</t>
  </si>
  <si>
    <t>02101М2990</t>
  </si>
  <si>
    <t>01402М8400</t>
  </si>
  <si>
    <t>01403М8710</t>
  </si>
  <si>
    <t>90400М9090</t>
  </si>
  <si>
    <t>0460171090</t>
  </si>
  <si>
    <t>04601S1090</t>
  </si>
  <si>
    <t>04801L5550</t>
  </si>
  <si>
    <t>04801R5550</t>
  </si>
  <si>
    <t>04802L5550</t>
  </si>
  <si>
    <t>04802R5550</t>
  </si>
  <si>
    <t>04604М2760</t>
  </si>
  <si>
    <t>04502М2660</t>
  </si>
  <si>
    <t>0410270940</t>
  </si>
  <si>
    <t>04102S0940</t>
  </si>
  <si>
    <t>04102М2540</t>
  </si>
  <si>
    <t>01701М6010</t>
  </si>
  <si>
    <t>Ракшина Н.А.</t>
  </si>
  <si>
    <t>05.06.2013 - не установлен</t>
  </si>
  <si>
    <t>Постановление администрации ЗАТО г.Североморск от 24.02.2015 N 167 "Об утверждении краткосрочного плана реализации региональной программы капитального ремонта общего имущества в многоквартирных домах, расположенных на территории Мурманской области, на 2014 - 2043 годы в муниципальном образовании ЗАТО г. Североморск на 2016 год"</t>
  </si>
  <si>
    <t>Постановление администрации ЗАТО г.Североморск от 05.06.2013 N 563 «О создании муниципального казенного учреждения «Муниципальное имущество»</t>
  </si>
  <si>
    <t xml:space="preserve">Постановление администрации ЗАТО г.Североморск от 15.06.2016 N 718  "Об оплате труда работников муниципальных бюджетных, автономных и казенных учреждений ЗАТО г. Североморск" </t>
  </si>
  <si>
    <t xml:space="preserve">Постановление администрации МО ЗАТО город Североморск от 11.07.2012 N 550 "Об утверждении примерного положения по оплате труда работников муниципальных учреждений ЗАТО г. Североморск, осуществляющих профессиональную деятельность по общеотраслевым должностям служащих и по общеотраслевым профессиям рабочих" </t>
  </si>
  <si>
    <t>03.08.2012 - не установлен</t>
  </si>
  <si>
    <t xml:space="preserve">Постановление администрации ЗАТО г.Североморск от 28.09.2017 N 1455 "Об утверждении краткосрочного плана реализации региональной программы капитального ремонта общего имущества в многоквартирных домах, расположенных на территории Мурманской области, на 2014 - 2043 годы в муниципальном образовании ЗАТО г. Североморск на 2018 год" </t>
  </si>
  <si>
    <t>06.10.2017 - 31.12.2018</t>
  </si>
  <si>
    <t>30.04.2015 - 31.12.2016</t>
  </si>
  <si>
    <t>Постановление администрации ЗАТО г. Североморск № 1253 от 03.10.16 "О премиях ЗАТО г. Североморск одаренным детям и учащейся молодежи, проявившим выдающиеся способности в области образования"</t>
  </si>
  <si>
    <t>Постановление администрации ЗАТО г. Североморск от 26.04.2016 № 488 «О стипендиях и премиях одаренным детям в области культуры и искусства ЗАТО г.Североморск"</t>
  </si>
  <si>
    <t>29.04.2016 - не установлен</t>
  </si>
  <si>
    <t>Постановление администрации ЗАТО г.Североморск от 19.12.2012 N 1214 "Об утверждении Положения о порядке оплаты стоимости проезда и провоза багажа в связи с переездом отдельных категорий граждан из ЗАТО г. Североморск на новое место жительства"</t>
  </si>
  <si>
    <t>01.01.2013 - не установлен</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</si>
  <si>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</si>
  <si>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 xml:space="preserve"> ст.16, п.1, подп.7
</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</si>
  <si>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t>
  </si>
  <si>
    <t xml:space="preserve">17.07.2015-не установлен
</t>
  </si>
  <si>
    <t xml:space="preserve">Закон Мурманской области №1133-01-ЗМО от 13.07.2009 "Об организации транспортного обслуживания населения на территории Мурманской области"
</t>
  </si>
  <si>
    <t xml:space="preserve">01.08.2009-не установлен
</t>
  </si>
  <si>
    <t xml:space="preserve"> ст.6.2
</t>
  </si>
  <si>
    <t>Закон Мурманской области от 28.05.2004 № 483-01-ЗМО «О государственном регулировании цен на территории Мурманской области»</t>
  </si>
  <si>
    <t>17.12.2008-не установлен</t>
  </si>
  <si>
    <t>2.4.1.1. на государственную регистрацию актов гражданского состояния</t>
  </si>
  <si>
    <t>2.4.1.2. по составлению списков кандидатов в присяжные заседатели</t>
  </si>
  <si>
    <t>2.4.1.21.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</si>
  <si>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2.4.1.27.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</si>
  <si>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</si>
  <si>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2.4.1.40.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</si>
  <si>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2.4.1.41. на организацию и осуществление деятельности по опеке и попечительству</t>
  </si>
  <si>
    <t>2.4.1.59.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</si>
  <si>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2.4.1.81.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</si>
  <si>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 xml:space="preserve"> ст.63, п.2
</t>
  </si>
  <si>
    <t xml:space="preserve">Федеральный закон №381-ФЗ от 28.12.2009 "Об основах государственного регулирования торговой деятельности в Российской Федерации"
</t>
  </si>
  <si>
    <t xml:space="preserve">01.02.2010-не установлен
</t>
  </si>
  <si>
    <t xml:space="preserve">Федеральный закон №48-ФЗ от 24.04.2008 "Об опеке и попечительстве"
</t>
  </si>
  <si>
    <t xml:space="preserve"> ст.6, п.1, подп.1.1
</t>
  </si>
  <si>
    <t xml:space="preserve">01.09.2008-не установлен
</t>
  </si>
  <si>
    <t xml:space="preserve">Федеральный закон №195-ФЗ от 30.12.2001 "Кодекс Российской Федерации об административных правонарушениях"
</t>
  </si>
  <si>
    <t xml:space="preserve"> ст.1.3.1
</t>
  </si>
  <si>
    <t xml:space="preserve">01.07.2002-не установлен
</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</si>
  <si>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</si>
  <si>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 ст.8, п.1
</t>
  </si>
  <si>
    <t xml:space="preserve">23.12.1996-не установлен
</t>
  </si>
  <si>
    <t xml:space="preserve"> ст.63, п.1
</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</si>
  <si>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</si>
  <si>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</si>
  <si>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
</t>
  </si>
  <si>
    <t xml:space="preserve">Федеральный закон №143-ФЗ от 15.11.1997 "Об  актах гражданского состояния"
</t>
  </si>
  <si>
    <t xml:space="preserve"> ст.4, п.2
</t>
  </si>
  <si>
    <t xml:space="preserve">20.11.1997-не установлен
</t>
  </si>
  <si>
    <t xml:space="preserve"> ст.1, 
</t>
  </si>
  <si>
    <t xml:space="preserve">Закон Мурманской области №1018-01-ЗМО от 10.11.2008 "О методике распределения субвенций бюджетам муниципальных образований Мурманской области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дополнению) списков кандидатов в присяжные заседатели федеральных судов общей юрисдикции"
</t>
  </si>
  <si>
    <t xml:space="preserve">18.11.2008-не установлен
</t>
  </si>
  <si>
    <t xml:space="preserve">Постановление Правительства Мурманской области №198-ПП от 04.05.2016 "О составлении списков кандидатов в присяжные заседатели Мурманского областного суда, 3 окружного военного суда и Северного флотского военного суда на 2017 - 2020 годы"
</t>
  </si>
  <si>
    <t xml:space="preserve">05.05.2016-не установлен
</t>
  </si>
  <si>
    <t xml:space="preserve">Закон Мурманской области №706-01-ЗМО от 19.12.2005 "О региональных нормативах финансирования системы образования Мурманской области"
</t>
  </si>
  <si>
    <t xml:space="preserve"> ст.4, 
</t>
  </si>
  <si>
    <t xml:space="preserve">01.01.2006-не установлен
</t>
  </si>
  <si>
    <t xml:space="preserve">Закон Мурманской области №1684-01-ЗМО от 10.12.2013 "О региональных нормативах финансового обеспечения образовательной деятельности муниципальных дошкольных образовательных организаций"
</t>
  </si>
  <si>
    <t xml:space="preserve">01.01.2014-не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</si>
  <si>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</si>
  <si>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 xml:space="preserve">Закон Мурманской области №568-01-ЗМО от 28.12.2004 "О дополнительных гарантиях по социальной поддержки детей сирот и детей, оставшихся без попечения родителей, лиц из числа детей-сирот и детей, оставшихся без попечения родителей"
</t>
  </si>
  <si>
    <t xml:space="preserve"> ст.4, , п.3
</t>
  </si>
  <si>
    <t xml:space="preserve"> ст.9, 
</t>
  </si>
  <si>
    <t xml:space="preserve">Закон Мурманской области №900-01-ЗМО от 26.10.2007 "О предоставлении питания отдельным категориям обучающихся студентов государственных областных и муниципальных образовательных учреждений Мурманскйо области"
</t>
  </si>
  <si>
    <t xml:space="preserve">Закон Мурманской области №901-01-ЗМО от 26.10.2007 "О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
</t>
  </si>
  <si>
    <t xml:space="preserve">Закон Мурманской области №1372-01-ЗМО от 12.07.2011 "О плате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t>
  </si>
  <si>
    <t xml:space="preserve"> ст.5, 
</t>
  </si>
  <si>
    <t xml:space="preserve">01.01.2012-не установлен
</t>
  </si>
  <si>
    <t xml:space="preserve">Закон Мурманской области №401-01-ЗМО от 06.06.2003 "Об административных правонарушениях"
</t>
  </si>
  <si>
    <t xml:space="preserve"> ст.19, , п.14.1
</t>
  </si>
  <si>
    <t xml:space="preserve">25.06.2003-не установлен
</t>
  </si>
  <si>
    <t xml:space="preserve">Закон Мурманской области №408-01-ЗМО от 24.06.2003 "Об административных комиссиях"
</t>
  </si>
  <si>
    <t xml:space="preserve"> ст.5.1, 
</t>
  </si>
  <si>
    <t xml:space="preserve">08.07.2013-не установлен
</t>
  </si>
  <si>
    <t xml:space="preserve">Закон Мурманской области №571-01-ЗМО от 28.12.2004 "О комиссиях по делам несовершеннолетних и защите их прав"
</t>
  </si>
  <si>
    <t xml:space="preserve">Закон Мурманской области №1566-01-ЗМО от 25.12.2012 "О наделении органов местного самоуправления отдельными государственными полномочиями Мурманской области и внесение изменений в статью 19 Закона Мурманской области "Об административных правонарушениях""
</t>
  </si>
  <si>
    <t xml:space="preserve"> ст.2, , п.7
</t>
  </si>
  <si>
    <t xml:space="preserve">Закон Мурманской области №126-01-ЗМО от 10.01.1999 "О размере вознаграждения приемным родителям и льготах, предоставляемых приемной семье"
</t>
  </si>
  <si>
    <t xml:space="preserve"> ст.2, , п.4
</t>
  </si>
  <si>
    <t xml:space="preserve">01.01.1999-не установлен
</t>
  </si>
  <si>
    <t xml:space="preserve">Закон Мурманской области №568-01-ЗМО от 28.12.2004 "О дополнительных гарантиях по социальной поддержки детей сирот и детей,оставшихся без попечения родителей,лиц из числа детей-сирот и детей,оставшихся без попечения родителей"
</t>
  </si>
  <si>
    <t xml:space="preserve"> ст.4, , п.4
</t>
  </si>
  <si>
    <t xml:space="preserve">Закон Мурманской области №570-01-ЗМО от 28.12.2004 "О порядке и размере ежемесячной выплаты опекуну (попечителю), приёмному родителю денежных средств на содержание ребёнка"
</t>
  </si>
  <si>
    <t xml:space="preserve">Закон Мурманской области №759-01-ЗМО от 29.05.2006 "О патронате"
</t>
  </si>
  <si>
    <t xml:space="preserve">01.07.2006-не установлен
</t>
  </si>
  <si>
    <t xml:space="preserve">Закон Мурманской области №927-01-ЗМО от 13.12.2007 "О наделении органов местного самоуправления отдельными государственными полномочиями по опеке и попечительству в отношении несовершеннолетних"
</t>
  </si>
  <si>
    <t xml:space="preserve"> ст.2, 
</t>
  </si>
  <si>
    <t xml:space="preserve">Закон Мурманской области №1177-01-ЗМО от 17.12.2009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</si>
  <si>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 xml:space="preserve">01.01.2010-не установлен
</t>
  </si>
  <si>
    <t>9020059300</t>
  </si>
  <si>
    <t>9020051200</t>
  </si>
  <si>
    <t>0510175310</t>
  </si>
  <si>
    <t>0510175380</t>
  </si>
  <si>
    <t>9020050820</t>
  </si>
  <si>
    <t>90200R0820</t>
  </si>
  <si>
    <t>0530175340</t>
  </si>
  <si>
    <t>0530175520</t>
  </si>
  <si>
    <t>9020075530</t>
  </si>
  <si>
    <t>0530175350</t>
  </si>
  <si>
    <t>9020075540</t>
  </si>
  <si>
    <t>9020075550</t>
  </si>
  <si>
    <t>9020075560</t>
  </si>
  <si>
    <t>0510175220</t>
  </si>
  <si>
    <t>0530275200</t>
  </si>
  <si>
    <t>0530275210</t>
  </si>
  <si>
    <t>0530275250</t>
  </si>
  <si>
    <t>9020075100</t>
  </si>
  <si>
    <t>9020075110</t>
  </si>
  <si>
    <t>0510175360</t>
  </si>
  <si>
    <t>0510175370</t>
  </si>
  <si>
    <t>0520175320</t>
  </si>
  <si>
    <t>0460275590</t>
  </si>
  <si>
    <t>0460275600</t>
  </si>
  <si>
    <t>9020075510</t>
  </si>
  <si>
    <t>05401S1070</t>
  </si>
  <si>
    <t>9020000000</t>
  </si>
  <si>
    <t>90200М9000</t>
  </si>
  <si>
    <t>" ___ " _______________  2017 г.</t>
  </si>
  <si>
    <t>0170160280</t>
  </si>
  <si>
    <t>0170176600</t>
  </si>
  <si>
    <t>Начальник бюджетного отдела</t>
  </si>
  <si>
    <t xml:space="preserve">  Правовое основание финансового обеспечения и расходования средств (нормативные правовые акты, договоры, соглашения)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</si>
</sst>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name val="Calibri"/>
      <family val="2"/>
    </font>
    <font>
      <sz val="11"/>
      <color theme="1"/>
      <name val="Calibri"/>
      <family val="2"/>
      <charset val="204"/>
      <scheme val="minor"/>
    </font>
    <font>
      <sz val="11"/>
      <color theme="1"/>
      <name val="Calibri"/>
      <family val="2"/>
      <charset val="204"/>
      <scheme val="minor"/>
    </font>
    <font>
      <sz val="11"/>
      <name val="Times New Roman"/>
      <family val="1"/>
      <charset val="204"/>
    </font>
    <font>
      <sz val="7"/>
      <name val="Times New Roman"/>
      <family val="1"/>
      <charset val="204"/>
    </font>
    <font>
      <b/>
      <sz val="11"/>
      <name val="Times New Roman"/>
      <family val="1"/>
      <charset val="204"/>
    </font>
    <font>
      <b/>
      <i/>
      <sz val="11"/>
      <name val="Times New Roman"/>
      <family val="1"/>
      <charset val="204"/>
    </font>
    <font>
      <sz val="11"/>
      <name val="Calibri"/>
      <family val="2"/>
      <scheme val="minor"/>
    </font>
    <font>
      <sz val="8"/>
      <color rgb="FF000000"/>
      <name val="Arial Cyr"/>
      <family val="2"/>
    </font>
    <font>
      <sz val="10"/>
      <color rgb="FF000000"/>
      <name val="Arial Cyr"/>
      <family val="2"/>
    </font>
    <font>
      <sz val="10"/>
      <color rgb="FF000000"/>
      <name val="Arial"/>
      <family val="2"/>
    </font>
    <font>
      <b/>
      <sz val="10"/>
      <color rgb="FF000000"/>
      <name val="Arial CYR"/>
      <family val="2"/>
    </font>
    <font>
      <sz val="8"/>
      <color rgb="FF000000"/>
      <name val="Times New Roman"/>
      <family val="2"/>
    </font>
    <font>
      <sz val="11"/>
      <color rgb="FF000000"/>
      <name val="Calibri"/>
      <family val="2"/>
      <scheme val="minor"/>
    </font>
    <font>
      <sz val="8"/>
      <color rgb="FF000000"/>
      <name val="Times New Roman"/>
      <family val="1"/>
      <charset val="204"/>
    </font>
    <font>
      <b/>
      <sz val="10"/>
      <color rgb="FF000000"/>
      <name val="Times New Roman"/>
      <family val="1"/>
      <charset val="204"/>
    </font>
    <font>
      <b/>
      <sz val="7"/>
      <color rgb="FF000000"/>
      <name val="Times New Roman"/>
      <family val="1"/>
      <charset val="204"/>
    </font>
    <font>
      <sz val="7"/>
      <color rgb="FF000000"/>
      <name val="Times New Roman"/>
      <family val="1"/>
      <charset val="204"/>
    </font>
    <font>
      <b/>
      <i/>
      <sz val="7"/>
      <color rgb="FF000000"/>
      <name val="Times New Roman"/>
      <family val="1"/>
      <charset val="204"/>
    </font>
    <font>
      <sz val="6"/>
      <color rgb="FF000000"/>
      <name val="Times New Roman"/>
      <family val="1"/>
      <charset val="204"/>
    </font>
    <font>
      <sz val="8"/>
      <name val="Times New Roman"/>
      <family val="1"/>
      <charset val="204"/>
    </font>
    <font>
      <sz val="6"/>
      <name val="Times New Roman"/>
      <family val="1"/>
      <charset val="204"/>
    </font>
    <font>
      <vertAlign val="superscript"/>
      <sz val="6"/>
      <color rgb="FF000000"/>
      <name val="Times New Roman"/>
      <family val="1"/>
      <charset val="204"/>
    </font>
    <font>
      <sz val="7"/>
      <name val="Calibri"/>
      <family val="2"/>
    </font>
    <font>
      <sz val="10"/>
      <name val="Arial Cyr"/>
      <charset val="204"/>
    </font>
    <font>
      <sz val="7"/>
      <color theme="1"/>
      <name val="Times New Roman"/>
      <family val="1"/>
      <charset val="204"/>
    </font>
    <font>
      <b/>
      <sz val="7"/>
      <name val="Times New Roman"/>
      <family val="1"/>
      <charset val="204"/>
    </font>
    <font>
      <sz val="6"/>
      <color theme="1"/>
      <name val="Times New Roman"/>
      <family val="1"/>
      <charset val="204"/>
    </font>
    <font>
      <sz val="10"/>
      <name val="Arial Cyr"/>
    </font>
    <font>
      <sz val="6"/>
      <color rgb="FFFF0000"/>
      <name val="Times New Roman"/>
      <family val="1"/>
      <charset val="204"/>
    </font>
    <font>
      <sz val="7"/>
      <color rgb="FFFF0000"/>
      <name val="Times New Roman"/>
      <family val="1"/>
      <charset val="204"/>
    </font>
    <font>
      <sz val="11"/>
      <color rgb="FFFF0000"/>
      <name val="Times New Roman"/>
      <family val="1"/>
      <charset val="204"/>
    </font>
    <font>
      <sz val="6"/>
      <color indexed="8"/>
      <name val="Times New Roman"/>
      <family val="1"/>
      <charset val="204"/>
    </font>
    <font>
      <b/>
      <sz val="6"/>
      <color rgb="FF000000"/>
      <name val="Times New Roman"/>
      <family val="1"/>
      <charset val="204"/>
    </font>
    <font>
      <sz val="11"/>
      <name val="Calibri"/>
      <family val="2"/>
    </font>
    <font>
      <b/>
      <sz val="12"/>
      <color rgb="FF000000"/>
      <name val="Arial Cyr"/>
      <family val="2"/>
    </font>
    <font>
      <sz val="10"/>
      <color rgb="FF000000"/>
      <name val="Times New Roman"/>
      <family val="1"/>
      <charset val="204"/>
    </font>
    <font>
      <sz val="10"/>
      <color rgb="FF000000"/>
      <name val="Arial Cyr"/>
    </font>
    <font>
      <b/>
      <sz val="9"/>
      <color rgb="FF000000"/>
      <name val="Times New Roman"/>
      <family val="1"/>
      <charset val="204"/>
    </font>
    <font>
      <b/>
      <vertAlign val="superscript"/>
      <sz val="9"/>
      <color rgb="FF000000"/>
      <name val="Times New Roman"/>
      <family val="1"/>
      <charset val="204"/>
    </font>
    <font>
      <b/>
      <sz val="9"/>
      <name val="Times New Roman"/>
      <family val="1"/>
      <charset val="204"/>
    </font>
    <font>
      <sz val="9"/>
      <color rgb="FF000000"/>
      <name val="Times New Roman"/>
      <family val="1"/>
      <charset val="204"/>
    </font>
    <font>
      <vertAlign val="superscript"/>
      <sz val="9"/>
      <color rgb="FF000000"/>
      <name val="Times New Roman"/>
      <family val="1"/>
      <charset val="204"/>
    </font>
    <font>
      <sz val="9"/>
      <name val="Times New Roman"/>
      <family val="1"/>
      <charset val="204"/>
    </font>
  </fonts>
  <fills count="11">
    <fill>
      <patternFill patternType="none"/>
    </fill>
    <fill>
      <patternFill patternType="gray125"/>
    </fill>
    <fill>
      <patternFill patternType="solid">
        <fgColor rgb="FFFFFFFF"/>
      </patternFill>
    </fill>
    <fill>
      <patternFill patternType="solid">
        <fgColor rgb="FFCCCCCC"/>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FFCC"/>
      </patternFill>
    </fill>
    <fill>
      <patternFill patternType="solid">
        <fgColor rgb="FFCCFFFF"/>
      </patternFill>
    </fill>
    <fill>
      <patternFill patternType="solid">
        <fgColor rgb="FFC0C0C0"/>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0">
    <xf numFmtId="0" fontId="0" fillId="0" borderId="0"/>
    <xf numFmtId="0" fontId="7" fillId="0" borderId="0"/>
    <xf numFmtId="0" fontId="7" fillId="0" borderId="0"/>
    <xf numFmtId="49" fontId="8" fillId="2" borderId="1">
      <alignment horizontal="left" wrapText="1"/>
    </xf>
    <xf numFmtId="0" fontId="9" fillId="2" borderId="0">
      <alignment horizontal="center" wrapText="1"/>
    </xf>
    <xf numFmtId="0" fontId="10" fillId="0" borderId="0"/>
    <xf numFmtId="0" fontId="10" fillId="0" borderId="0"/>
    <xf numFmtId="0" fontId="7" fillId="0" borderId="0"/>
    <xf numFmtId="0" fontId="11" fillId="2" borderId="0">
      <alignment horizontal="center"/>
    </xf>
    <xf numFmtId="0" fontId="11" fillId="2" borderId="0">
      <alignment horizontal="left"/>
    </xf>
    <xf numFmtId="0" fontId="8" fillId="2" borderId="0">
      <alignment horizontal="left"/>
    </xf>
    <xf numFmtId="0" fontId="8" fillId="2" borderId="1">
      <alignment horizontal="left"/>
    </xf>
    <xf numFmtId="0" fontId="12" fillId="0" borderId="2">
      <alignment horizontal="center" vertical="center" wrapText="1"/>
    </xf>
    <xf numFmtId="49" fontId="12" fillId="2" borderId="3">
      <alignment horizontal="center"/>
    </xf>
    <xf numFmtId="49" fontId="12" fillId="2" borderId="4">
      <alignment horizontal="center"/>
    </xf>
    <xf numFmtId="49" fontId="12" fillId="2" borderId="5">
      <alignment horizontal="center"/>
    </xf>
    <xf numFmtId="0" fontId="9" fillId="3" borderId="6">
      <alignment horizontal="left"/>
    </xf>
    <xf numFmtId="0" fontId="8" fillId="2" borderId="0"/>
    <xf numFmtId="0" fontId="8" fillId="2" borderId="1"/>
    <xf numFmtId="49" fontId="12" fillId="0" borderId="3">
      <alignment horizontal="center"/>
    </xf>
    <xf numFmtId="49" fontId="12" fillId="0" borderId="5">
      <alignment horizontal="center"/>
    </xf>
    <xf numFmtId="49" fontId="12" fillId="0" borderId="3">
      <alignment horizontal="center"/>
    </xf>
    <xf numFmtId="49" fontId="12" fillId="0" borderId="4">
      <alignment horizontal="center"/>
    </xf>
    <xf numFmtId="49" fontId="12" fillId="0" borderId="5">
      <alignment horizontal="center"/>
    </xf>
    <xf numFmtId="0" fontId="8" fillId="0" borderId="7">
      <alignment horizontal="center"/>
    </xf>
    <xf numFmtId="0" fontId="8" fillId="2" borderId="0">
      <alignment horizontal="center"/>
    </xf>
    <xf numFmtId="0" fontId="9" fillId="2" borderId="0">
      <alignment horizontal="center"/>
    </xf>
    <xf numFmtId="0" fontId="8" fillId="0" borderId="7">
      <alignment horizontal="left"/>
    </xf>
    <xf numFmtId="49" fontId="12" fillId="0" borderId="8">
      <alignment horizontal="center"/>
    </xf>
    <xf numFmtId="49" fontId="12" fillId="0" borderId="3">
      <alignment horizontal="center"/>
    </xf>
    <xf numFmtId="49" fontId="12" fillId="0" borderId="9">
      <alignment horizontal="center"/>
    </xf>
    <xf numFmtId="0" fontId="9" fillId="3" borderId="0">
      <alignment horizontal="left"/>
    </xf>
    <xf numFmtId="0" fontId="9" fillId="0" borderId="0">
      <alignment horizontal="left"/>
    </xf>
    <xf numFmtId="0" fontId="9" fillId="0" borderId="0">
      <alignment wrapText="1"/>
    </xf>
    <xf numFmtId="0" fontId="11" fillId="0" borderId="0">
      <alignment horizontal="center"/>
    </xf>
    <xf numFmtId="0" fontId="11" fillId="0" borderId="0">
      <alignment horizontal="left"/>
    </xf>
    <xf numFmtId="0" fontId="9" fillId="0" borderId="0"/>
    <xf numFmtId="0" fontId="8" fillId="0" borderId="0">
      <alignment horizontal="left"/>
    </xf>
    <xf numFmtId="0" fontId="8" fillId="0" borderId="0">
      <alignment horizontal="left"/>
    </xf>
    <xf numFmtId="0" fontId="8" fillId="0" borderId="1">
      <alignment horizontal="left"/>
    </xf>
    <xf numFmtId="0" fontId="12" fillId="0" borderId="3">
      <alignment horizontal="center" vertical="center"/>
    </xf>
    <xf numFmtId="0" fontId="12" fillId="0" borderId="4">
      <alignment horizontal="center" vertical="center"/>
    </xf>
    <xf numFmtId="0" fontId="12" fillId="0" borderId="5">
      <alignment horizontal="center" vertical="center"/>
    </xf>
    <xf numFmtId="0" fontId="12" fillId="0" borderId="2">
      <alignment horizontal="center" vertical="center"/>
    </xf>
    <xf numFmtId="0" fontId="9" fillId="3" borderId="10">
      <alignment horizontal="left"/>
    </xf>
    <xf numFmtId="0" fontId="12" fillId="0" borderId="11">
      <alignment wrapText="1"/>
    </xf>
    <xf numFmtId="0" fontId="12" fillId="0" borderId="11">
      <alignment horizontal="left" wrapText="1" indent="2"/>
    </xf>
    <xf numFmtId="0" fontId="9" fillId="3" borderId="7">
      <alignment horizontal="left"/>
    </xf>
    <xf numFmtId="0" fontId="8" fillId="0" borderId="0">
      <alignment horizontal="left" wrapText="1"/>
    </xf>
    <xf numFmtId="0" fontId="8" fillId="0" borderId="0">
      <alignment horizontal="center"/>
    </xf>
    <xf numFmtId="49" fontId="9" fillId="2" borderId="0"/>
    <xf numFmtId="0" fontId="9" fillId="2" borderId="0">
      <alignment wrapText="1"/>
    </xf>
    <xf numFmtId="0" fontId="9" fillId="2" borderId="0"/>
    <xf numFmtId="49" fontId="8" fillId="2" borderId="0"/>
    <xf numFmtId="49" fontId="8" fillId="2" borderId="1">
      <alignment horizontal="left"/>
    </xf>
    <xf numFmtId="49" fontId="8" fillId="2" borderId="1"/>
    <xf numFmtId="49" fontId="12" fillId="2" borderId="3">
      <alignment horizontal="center" vertical="center"/>
    </xf>
    <xf numFmtId="49" fontId="12" fillId="2" borderId="4">
      <alignment horizontal="center" vertical="center"/>
    </xf>
    <xf numFmtId="49" fontId="12" fillId="2" borderId="5">
      <alignment horizontal="center" vertical="center"/>
    </xf>
    <xf numFmtId="49" fontId="12" fillId="2" borderId="12">
      <alignment horizontal="center" vertical="center"/>
    </xf>
    <xf numFmtId="0" fontId="9" fillId="3" borderId="13">
      <alignment horizontal="left"/>
    </xf>
    <xf numFmtId="49" fontId="12" fillId="2" borderId="14">
      <alignment horizontal="center" vertical="center"/>
    </xf>
    <xf numFmtId="49" fontId="12" fillId="2" borderId="14">
      <alignment horizontal="center" vertical="center" wrapText="1"/>
    </xf>
    <xf numFmtId="0" fontId="9" fillId="3" borderId="15">
      <alignment horizontal="left"/>
    </xf>
    <xf numFmtId="49" fontId="8" fillId="2" borderId="16">
      <alignment horizontal="center"/>
    </xf>
    <xf numFmtId="49" fontId="8" fillId="2" borderId="0">
      <alignment horizontal="center"/>
    </xf>
    <xf numFmtId="0" fontId="8" fillId="0" borderId="0"/>
    <xf numFmtId="0" fontId="8" fillId="0" borderId="1"/>
    <xf numFmtId="49" fontId="12" fillId="0" borderId="3">
      <alignment horizontal="center" vertical="center"/>
    </xf>
    <xf numFmtId="49" fontId="12" fillId="0" borderId="5">
      <alignment horizontal="center" vertical="center"/>
    </xf>
    <xf numFmtId="49" fontId="12" fillId="0" borderId="2">
      <alignment horizontal="center" vertical="center"/>
    </xf>
    <xf numFmtId="49" fontId="12" fillId="0" borderId="3">
      <alignment horizontal="center" vertical="center"/>
    </xf>
    <xf numFmtId="49" fontId="12" fillId="0" borderId="4">
      <alignment horizontal="center" vertical="center"/>
    </xf>
    <xf numFmtId="49" fontId="12" fillId="0" borderId="5">
      <alignment horizontal="center" vertical="center"/>
    </xf>
    <xf numFmtId="0" fontId="12" fillId="0" borderId="12">
      <alignment horizontal="center" vertical="center"/>
    </xf>
    <xf numFmtId="49" fontId="12" fillId="0" borderId="2">
      <alignment horizontal="center"/>
    </xf>
    <xf numFmtId="49" fontId="12" fillId="0" borderId="2">
      <alignment horizontal="center" wrapText="1"/>
    </xf>
    <xf numFmtId="0" fontId="8" fillId="0" borderId="16">
      <alignment horizontal="center"/>
    </xf>
    <xf numFmtId="0" fontId="8" fillId="0" borderId="1">
      <alignment horizontal="center"/>
    </xf>
    <xf numFmtId="0" fontId="8" fillId="0" borderId="7">
      <alignment horizontal="center"/>
    </xf>
    <xf numFmtId="0" fontId="8" fillId="0" borderId="0">
      <alignment horizontal="center"/>
    </xf>
    <xf numFmtId="0" fontId="8" fillId="0" borderId="0">
      <alignment horizontal="centerContinuous"/>
    </xf>
    <xf numFmtId="0" fontId="8" fillId="0" borderId="1">
      <alignment horizontal="center"/>
    </xf>
    <xf numFmtId="0" fontId="13" fillId="0" borderId="0"/>
    <xf numFmtId="49" fontId="8" fillId="2" borderId="7"/>
    <xf numFmtId="49" fontId="12" fillId="2" borderId="2">
      <alignment horizontal="center" vertical="center" wrapText="1"/>
    </xf>
    <xf numFmtId="49" fontId="12" fillId="2" borderId="2">
      <alignment horizontal="center" vertical="center" wrapText="1"/>
    </xf>
    <xf numFmtId="49" fontId="12" fillId="2" borderId="2">
      <alignment horizontal="center"/>
    </xf>
    <xf numFmtId="49" fontId="12" fillId="2" borderId="2">
      <alignment horizontal="center" wrapText="1"/>
    </xf>
    <xf numFmtId="49" fontId="8" fillId="2" borderId="1">
      <alignment horizontal="center"/>
    </xf>
    <xf numFmtId="0" fontId="8" fillId="0" borderId="7"/>
    <xf numFmtId="49" fontId="8" fillId="0" borderId="16">
      <alignment horizontal="center"/>
    </xf>
    <xf numFmtId="49" fontId="8" fillId="0" borderId="0">
      <alignment horizontal="center"/>
    </xf>
    <xf numFmtId="0" fontId="12" fillId="0" borderId="0">
      <alignment horizontal="right"/>
    </xf>
    <xf numFmtId="0" fontId="9" fillId="0" borderId="0">
      <alignment horizontal="left" wrapText="1"/>
    </xf>
    <xf numFmtId="49" fontId="12" fillId="0" borderId="2">
      <alignment horizontal="center" vertical="center"/>
    </xf>
    <xf numFmtId="164" fontId="12" fillId="0" borderId="2">
      <alignment horizontal="center" shrinkToFit="1"/>
    </xf>
    <xf numFmtId="164" fontId="12" fillId="0" borderId="2">
      <alignment horizontal="center" wrapText="1"/>
    </xf>
    <xf numFmtId="49" fontId="8" fillId="0" borderId="1">
      <alignment horizontal="center"/>
    </xf>
    <xf numFmtId="49" fontId="8" fillId="0" borderId="7">
      <alignment horizontal="center"/>
    </xf>
    <xf numFmtId="49" fontId="12" fillId="0" borderId="8">
      <alignment horizontal="center" vertical="center"/>
    </xf>
    <xf numFmtId="49" fontId="12" fillId="0" borderId="3">
      <alignment horizontal="center" vertical="center"/>
    </xf>
    <xf numFmtId="49" fontId="8" fillId="0" borderId="0"/>
    <xf numFmtId="49" fontId="8" fillId="0" borderId="1"/>
    <xf numFmtId="49" fontId="12" fillId="0" borderId="9">
      <alignment horizontal="center" vertical="center"/>
    </xf>
    <xf numFmtId="164" fontId="12" fillId="0" borderId="11">
      <alignment horizontal="center" shrinkToFit="1"/>
    </xf>
    <xf numFmtId="164" fontId="12" fillId="0" borderId="11">
      <alignment horizontal="center" wrapText="1"/>
    </xf>
    <xf numFmtId="0" fontId="8" fillId="0" borderId="0">
      <alignment horizontal="center" vertical="top"/>
    </xf>
    <xf numFmtId="0" fontId="9" fillId="2" borderId="0">
      <alignment horizontal="left"/>
    </xf>
    <xf numFmtId="0" fontId="11" fillId="2" borderId="0">
      <alignment horizontal="center" wrapText="1"/>
    </xf>
    <xf numFmtId="49" fontId="20" fillId="0" borderId="3">
      <alignment horizontal="center" vertical="center" wrapText="1"/>
    </xf>
    <xf numFmtId="49" fontId="20" fillId="0" borderId="4">
      <alignment horizontal="center" vertical="center" wrapText="1"/>
    </xf>
    <xf numFmtId="0" fontId="24" fillId="0" borderId="0"/>
    <xf numFmtId="0" fontId="2" fillId="0" borderId="0"/>
    <xf numFmtId="49" fontId="20" fillId="5" borderId="3">
      <alignment horizontal="center" vertical="center" wrapText="1"/>
    </xf>
    <xf numFmtId="164" fontId="20" fillId="0" borderId="18">
      <alignment horizontal="right" vertical="center" shrinkToFit="1"/>
    </xf>
    <xf numFmtId="164" fontId="20" fillId="0" borderId="19">
      <alignment horizontal="right" vertical="center" shrinkToFit="1"/>
    </xf>
    <xf numFmtId="0" fontId="1" fillId="0" borderId="0"/>
    <xf numFmtId="0" fontId="34" fillId="0" borderId="0"/>
    <xf numFmtId="0" fontId="9" fillId="0" borderId="0"/>
    <xf numFmtId="0" fontId="9" fillId="0" borderId="0"/>
    <xf numFmtId="0" fontId="9" fillId="10" borderId="0"/>
    <xf numFmtId="0" fontId="9" fillId="0" borderId="0">
      <alignment wrapText="1"/>
    </xf>
    <xf numFmtId="0" fontId="9" fillId="0" borderId="0"/>
    <xf numFmtId="0" fontId="35" fillId="0" borderId="0">
      <alignment horizontal="center" wrapText="1"/>
    </xf>
    <xf numFmtId="0" fontId="35" fillId="0" borderId="0">
      <alignment horizontal="center"/>
    </xf>
    <xf numFmtId="0" fontId="9" fillId="0" borderId="0">
      <alignment horizontal="right"/>
    </xf>
    <xf numFmtId="0" fontId="9" fillId="10" borderId="1"/>
    <xf numFmtId="0" fontId="9" fillId="0" borderId="2">
      <alignment horizontal="center" vertical="center" wrapText="1"/>
    </xf>
    <xf numFmtId="0" fontId="9" fillId="10" borderId="10"/>
    <xf numFmtId="49" fontId="9" fillId="0" borderId="2">
      <alignment horizontal="left" vertical="top" wrapText="1" indent="2"/>
    </xf>
    <xf numFmtId="49" fontId="9" fillId="0" borderId="2">
      <alignment horizontal="center" vertical="top" shrinkToFit="1"/>
    </xf>
    <xf numFmtId="4" fontId="9" fillId="0" borderId="2">
      <alignment horizontal="right" vertical="top" shrinkToFit="1"/>
    </xf>
    <xf numFmtId="10" fontId="9" fillId="0" borderId="2">
      <alignment horizontal="right" vertical="top" shrinkToFit="1"/>
    </xf>
    <xf numFmtId="0" fontId="9" fillId="10" borderId="10">
      <alignment shrinkToFit="1"/>
    </xf>
    <xf numFmtId="0" fontId="11" fillId="0" borderId="2">
      <alignment horizontal="left"/>
    </xf>
    <xf numFmtId="4" fontId="11" fillId="8" borderId="2">
      <alignment horizontal="right" vertical="top" shrinkToFit="1"/>
    </xf>
    <xf numFmtId="10" fontId="11" fillId="8" borderId="2">
      <alignment horizontal="right" vertical="top" shrinkToFit="1"/>
    </xf>
    <xf numFmtId="0" fontId="9" fillId="10" borderId="7"/>
    <xf numFmtId="0" fontId="9" fillId="0" borderId="0">
      <alignment horizontal="left" wrapText="1"/>
    </xf>
    <xf numFmtId="0" fontId="11" fillId="0" borderId="2">
      <alignment vertical="top" wrapText="1"/>
    </xf>
    <xf numFmtId="4" fontId="11" fillId="9" borderId="2">
      <alignment horizontal="right" vertical="top" shrinkToFit="1"/>
    </xf>
    <xf numFmtId="10" fontId="11" fillId="9" borderId="2">
      <alignment horizontal="right" vertical="top" shrinkToFit="1"/>
    </xf>
    <xf numFmtId="0" fontId="9" fillId="10" borderId="10">
      <alignment horizontal="center"/>
    </xf>
    <xf numFmtId="0" fontId="9" fillId="10" borderId="10">
      <alignment horizontal="left"/>
    </xf>
    <xf numFmtId="0" fontId="9" fillId="10" borderId="7">
      <alignment horizontal="center"/>
    </xf>
    <xf numFmtId="0" fontId="9" fillId="10" borderId="7">
      <alignment horizontal="left"/>
    </xf>
    <xf numFmtId="49" fontId="14" fillId="0" borderId="3">
      <alignment horizontal="center" vertical="top" wrapText="1"/>
    </xf>
    <xf numFmtId="0" fontId="37" fillId="0" borderId="4">
      <alignment vertical="top" wrapText="1"/>
    </xf>
    <xf numFmtId="49" fontId="36" fillId="0" borderId="4">
      <alignment horizontal="center" vertical="top" wrapText="1"/>
    </xf>
  </cellStyleXfs>
  <cellXfs count="305">
    <xf numFmtId="0" fontId="0" fillId="0" borderId="0" xfId="0"/>
    <xf numFmtId="0" fontId="3" fillId="0" borderId="0" xfId="0" applyFont="1" applyProtection="1">
      <protection locked="0"/>
    </xf>
    <xf numFmtId="0" fontId="5" fillId="0" borderId="0" xfId="0" applyFont="1" applyProtection="1">
      <protection locked="0"/>
    </xf>
    <xf numFmtId="49" fontId="19" fillId="0" borderId="17" xfId="76" applyNumberFormat="1" applyFont="1" applyBorder="1" applyAlignment="1" applyProtection="1">
      <alignment horizontal="center" vertical="top" wrapText="1"/>
      <protection locked="0"/>
    </xf>
    <xf numFmtId="49" fontId="21" fillId="0" borderId="17" xfId="111" applyNumberFormat="1" applyFont="1" applyBorder="1" applyAlignment="1" applyProtection="1">
      <alignment horizontal="center" vertical="top" wrapText="1"/>
    </xf>
    <xf numFmtId="49" fontId="21" fillId="0" borderId="17" xfId="110" applyNumberFormat="1" applyFont="1" applyBorder="1" applyAlignment="1" applyProtection="1">
      <alignment horizontal="center" vertical="top" wrapText="1"/>
    </xf>
    <xf numFmtId="49" fontId="19" fillId="0" borderId="0" xfId="76" applyNumberFormat="1" applyFont="1" applyBorder="1" applyAlignment="1" applyProtection="1">
      <alignment horizontal="center" vertical="top" wrapText="1"/>
      <protection locked="0"/>
    </xf>
    <xf numFmtId="4" fontId="17" fillId="0" borderId="17" xfId="96" applyNumberFormat="1" applyFont="1" applyBorder="1" applyAlignment="1" applyProtection="1">
      <alignment horizontal="right" vertical="top" shrinkToFit="1"/>
      <protection locked="0"/>
    </xf>
    <xf numFmtId="49" fontId="17" fillId="0" borderId="17" xfId="44" applyNumberFormat="1" applyFont="1" applyFill="1" applyBorder="1" applyAlignment="1" applyProtection="1">
      <alignment horizontal="center" vertical="top" shrinkToFit="1"/>
    </xf>
    <xf numFmtId="49" fontId="17" fillId="0" borderId="17" xfId="41" applyNumberFormat="1" applyFont="1" applyBorder="1" applyAlignment="1" applyProtection="1">
      <alignment horizontal="center" vertical="top" shrinkToFit="1"/>
    </xf>
    <xf numFmtId="164" fontId="4" fillId="0" borderId="0" xfId="0" applyNumberFormat="1" applyFont="1" applyProtection="1">
      <protection locked="0"/>
    </xf>
    <xf numFmtId="49" fontId="17" fillId="0" borderId="0" xfId="76" applyNumberFormat="1" applyFont="1" applyBorder="1" applyAlignment="1" applyProtection="1">
      <alignment horizontal="center" vertical="top" wrapText="1"/>
      <protection locked="0"/>
    </xf>
    <xf numFmtId="49" fontId="17" fillId="0" borderId="17" xfId="76" applyNumberFormat="1" applyFont="1" applyBorder="1" applyAlignment="1" applyProtection="1">
      <alignment horizontal="center" vertical="top" wrapText="1"/>
      <protection locked="0"/>
    </xf>
    <xf numFmtId="0" fontId="21" fillId="0" borderId="17" xfId="0" applyFont="1" applyFill="1" applyBorder="1" applyAlignment="1">
      <alignment horizontal="center" vertical="top" wrapText="1"/>
    </xf>
    <xf numFmtId="14" fontId="21" fillId="0" borderId="17" xfId="0" applyNumberFormat="1" applyFont="1" applyFill="1" applyBorder="1" applyAlignment="1">
      <alignment horizontal="center" vertical="top" wrapText="1"/>
    </xf>
    <xf numFmtId="0" fontId="21" fillId="2" borderId="17" xfId="50" applyNumberFormat="1" applyFont="1" applyBorder="1" applyAlignment="1" applyProtection="1">
      <alignment horizontal="left" vertical="top" wrapText="1"/>
    </xf>
    <xf numFmtId="0" fontId="21" fillId="2" borderId="17" xfId="51" applyNumberFormat="1" applyFont="1" applyBorder="1" applyAlignment="1" applyProtection="1">
      <alignment horizontal="center" vertical="top" shrinkToFit="1"/>
    </xf>
    <xf numFmtId="14" fontId="21" fillId="2" borderId="17" xfId="51" applyNumberFormat="1" applyFont="1" applyBorder="1" applyAlignment="1" applyProtection="1">
      <alignment horizontal="center" vertical="top" wrapText="1" shrinkToFit="1"/>
    </xf>
    <xf numFmtId="49" fontId="21" fillId="0" borderId="17" xfId="110" applyNumberFormat="1" applyFont="1" applyFill="1" applyBorder="1" applyAlignment="1" applyProtection="1">
      <alignment horizontal="center" vertical="top" wrapText="1"/>
    </xf>
    <xf numFmtId="0" fontId="19" fillId="0" borderId="0" xfId="80" applyNumberFormat="1" applyFont="1" applyBorder="1" applyAlignment="1" applyProtection="1">
      <alignment horizontal="center" vertical="top" wrapText="1"/>
      <protection locked="0"/>
    </xf>
    <xf numFmtId="0" fontId="19" fillId="0" borderId="0" xfId="80" applyNumberFormat="1" applyFont="1" applyAlignment="1" applyProtection="1">
      <alignment horizontal="center" vertical="top" wrapText="1"/>
      <protection locked="0"/>
    </xf>
    <xf numFmtId="0" fontId="19" fillId="0" borderId="0" xfId="0" applyNumberFormat="1" applyFont="1" applyFill="1" applyBorder="1" applyAlignment="1" applyProtection="1">
      <alignment horizontal="center" vertical="top" wrapText="1"/>
    </xf>
    <xf numFmtId="0" fontId="21" fillId="0" borderId="17" xfId="0" applyFont="1" applyBorder="1" applyAlignment="1" applyProtection="1">
      <alignment horizontal="center" vertical="top" wrapText="1"/>
      <protection locked="0"/>
    </xf>
    <xf numFmtId="0" fontId="21" fillId="0" borderId="0" xfId="0" applyFont="1" applyBorder="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21" fillId="2" borderId="17" xfId="51" applyNumberFormat="1" applyFont="1" applyBorder="1" applyAlignment="1" applyProtection="1">
      <alignment horizontal="center" vertical="top" wrapText="1" shrinkToFit="1"/>
    </xf>
    <xf numFmtId="49" fontId="21" fillId="0" borderId="17" xfId="76" applyNumberFormat="1" applyFont="1" applyBorder="1" applyAlignment="1" applyProtection="1">
      <alignment horizontal="center" vertical="top" wrapText="1"/>
      <protection locked="0"/>
    </xf>
    <xf numFmtId="49" fontId="29" fillId="0" borderId="17" xfId="76" applyNumberFormat="1" applyFont="1" applyBorder="1" applyAlignment="1" applyProtection="1">
      <alignment horizontal="center" vertical="top" wrapText="1"/>
      <protection locked="0"/>
    </xf>
    <xf numFmtId="49" fontId="17" fillId="2" borderId="17" xfId="88" applyNumberFormat="1" applyFont="1" applyBorder="1" applyAlignment="1" applyProtection="1">
      <alignment horizontal="center" vertical="top" wrapText="1"/>
      <protection locked="0"/>
    </xf>
    <xf numFmtId="4" fontId="18" fillId="0" borderId="17" xfId="96" applyNumberFormat="1" applyFont="1" applyBorder="1" applyAlignment="1" applyProtection="1">
      <alignment vertical="top" shrinkToFit="1"/>
      <protection locked="0"/>
    </xf>
    <xf numFmtId="0" fontId="31" fillId="0" borderId="0" xfId="0" applyFont="1" applyProtection="1">
      <protection locked="0"/>
    </xf>
    <xf numFmtId="49" fontId="17" fillId="2" borderId="0" xfId="84" applyNumberFormat="1" applyFont="1" applyBorder="1" applyAlignment="1" applyProtection="1">
      <alignment vertical="top"/>
      <protection locked="0"/>
    </xf>
    <xf numFmtId="0" fontId="17" fillId="0" borderId="0" xfId="90" applyNumberFormat="1" applyFont="1" applyBorder="1" applyAlignment="1" applyProtection="1">
      <alignment vertical="top"/>
      <protection locked="0"/>
    </xf>
    <xf numFmtId="4" fontId="23" fillId="0" borderId="0" xfId="0" applyNumberFormat="1" applyFont="1" applyAlignment="1">
      <alignment horizontal="right" vertical="top"/>
    </xf>
    <xf numFmtId="4" fontId="17" fillId="0" borderId="17" xfId="91" applyNumberFormat="1" applyFont="1" applyFill="1" applyBorder="1" applyAlignment="1" applyProtection="1">
      <alignment vertical="top" shrinkToFit="1"/>
    </xf>
    <xf numFmtId="49" fontId="4" fillId="0" borderId="17" xfId="111" applyNumberFormat="1" applyFont="1" applyFill="1" applyBorder="1" applyAlignment="1" applyProtection="1">
      <alignment horizontal="center" vertical="top" wrapText="1"/>
    </xf>
    <xf numFmtId="4" fontId="17" fillId="0" borderId="17" xfId="92" applyNumberFormat="1" applyFont="1" applyFill="1" applyBorder="1" applyAlignment="1" applyProtection="1">
      <alignment vertical="top" shrinkToFit="1"/>
    </xf>
    <xf numFmtId="4" fontId="4" fillId="0" borderId="17" xfId="116" applyNumberFormat="1" applyFont="1" applyFill="1" applyBorder="1" applyAlignment="1" applyProtection="1">
      <alignment vertical="top" shrinkToFit="1"/>
    </xf>
    <xf numFmtId="49" fontId="4" fillId="4" borderId="17" xfId="113" applyNumberFormat="1" applyFont="1" applyFill="1" applyBorder="1" applyAlignment="1">
      <alignment horizontal="center" vertical="top" wrapText="1"/>
    </xf>
    <xf numFmtId="4" fontId="17" fillId="0" borderId="17" xfId="105" applyNumberFormat="1" applyFont="1" applyFill="1" applyBorder="1" applyAlignment="1" applyProtection="1">
      <alignment horizontal="right" vertical="top" shrinkToFit="1"/>
      <protection locked="0"/>
    </xf>
    <xf numFmtId="4" fontId="17" fillId="0" borderId="17" xfId="96" applyNumberFormat="1" applyFont="1" applyFill="1" applyBorder="1" applyAlignment="1" applyProtection="1">
      <alignment horizontal="right" vertical="top" shrinkToFit="1"/>
      <protection locked="0"/>
    </xf>
    <xf numFmtId="4" fontId="4" fillId="0" borderId="17" xfId="96" applyNumberFormat="1" applyFont="1" applyBorder="1" applyAlignment="1" applyProtection="1">
      <alignment horizontal="right" vertical="top" shrinkToFit="1"/>
      <protection locked="0"/>
    </xf>
    <xf numFmtId="49" fontId="25" fillId="2" borderId="17" xfId="88" applyNumberFormat="1" applyFont="1" applyBorder="1" applyAlignment="1" applyProtection="1">
      <alignment horizontal="center" vertical="top" wrapText="1"/>
      <protection locked="0"/>
    </xf>
    <xf numFmtId="49" fontId="25" fillId="0" borderId="17" xfId="76" applyNumberFormat="1" applyFont="1" applyBorder="1" applyAlignment="1" applyProtection="1">
      <alignment horizontal="center" vertical="top" wrapText="1"/>
      <protection locked="0"/>
    </xf>
    <xf numFmtId="4" fontId="25" fillId="0" borderId="17" xfId="96" applyNumberFormat="1" applyFont="1" applyBorder="1" applyAlignment="1" applyProtection="1">
      <alignment horizontal="right" vertical="top" shrinkToFit="1"/>
      <protection locked="0"/>
    </xf>
    <xf numFmtId="49" fontId="4" fillId="0" borderId="17" xfId="88" applyNumberFormat="1" applyFont="1" applyFill="1" applyBorder="1" applyAlignment="1" applyProtection="1">
      <alignment horizontal="center" vertical="top" wrapText="1"/>
      <protection locked="0"/>
    </xf>
    <xf numFmtId="49" fontId="4" fillId="0" borderId="17" xfId="76" applyNumberFormat="1" applyFont="1" applyFill="1" applyBorder="1" applyAlignment="1" applyProtection="1">
      <alignment horizontal="center" vertical="top" wrapText="1"/>
      <protection locked="0"/>
    </xf>
    <xf numFmtId="4" fontId="4" fillId="0" borderId="17" xfId="96" applyNumberFormat="1" applyFont="1" applyFill="1" applyBorder="1" applyAlignment="1" applyProtection="1">
      <alignment horizontal="right" vertical="top" shrinkToFit="1"/>
      <protection locked="0"/>
    </xf>
    <xf numFmtId="4" fontId="4" fillId="0" borderId="17" xfId="105" applyNumberFormat="1" applyFont="1" applyFill="1" applyBorder="1" applyAlignment="1" applyProtection="1">
      <alignment horizontal="right" vertical="top" shrinkToFit="1"/>
      <protection locked="0"/>
    </xf>
    <xf numFmtId="4" fontId="25" fillId="0" borderId="17" xfId="96" applyNumberFormat="1" applyFont="1" applyFill="1" applyBorder="1" applyAlignment="1" applyProtection="1">
      <alignment horizontal="right" vertical="top" shrinkToFit="1"/>
      <protection locked="0"/>
    </xf>
    <xf numFmtId="4" fontId="25" fillId="0" borderId="17" xfId="105" applyNumberFormat="1" applyFont="1" applyFill="1" applyBorder="1" applyAlignment="1" applyProtection="1">
      <alignment horizontal="right" vertical="top" shrinkToFit="1"/>
      <protection locked="0"/>
    </xf>
    <xf numFmtId="49" fontId="17" fillId="4" borderId="17" xfId="88" applyNumberFormat="1" applyFont="1" applyFill="1" applyBorder="1" applyAlignment="1" applyProtection="1">
      <alignment horizontal="center" vertical="top" wrapText="1"/>
      <protection locked="0"/>
    </xf>
    <xf numFmtId="49" fontId="17" fillId="4" borderId="17" xfId="76" applyNumberFormat="1" applyFont="1" applyFill="1" applyBorder="1" applyAlignment="1" applyProtection="1">
      <alignment horizontal="center" vertical="top" wrapText="1"/>
      <protection locked="0"/>
    </xf>
    <xf numFmtId="4" fontId="16" fillId="4" borderId="17" xfId="96" applyNumberFormat="1" applyFont="1" applyFill="1" applyBorder="1" applyAlignment="1" applyProtection="1">
      <alignment horizontal="right" vertical="top" shrinkToFit="1"/>
      <protection locked="0"/>
    </xf>
    <xf numFmtId="49" fontId="4" fillId="0" borderId="17" xfId="114" applyNumberFormat="1" applyFont="1" applyFill="1" applyBorder="1" applyAlignment="1" applyProtection="1">
      <alignment horizontal="center" vertical="top" wrapText="1"/>
    </xf>
    <xf numFmtId="49" fontId="4" fillId="0" borderId="17" xfId="110" applyNumberFormat="1" applyFont="1" applyFill="1" applyBorder="1" applyAlignment="1" applyProtection="1">
      <alignment horizontal="center" vertical="top" wrapText="1"/>
    </xf>
    <xf numFmtId="4" fontId="17" fillId="0" borderId="17" xfId="91" applyNumberFormat="1" applyFont="1" applyFill="1" applyBorder="1" applyAlignment="1" applyProtection="1">
      <alignment horizontal="right" vertical="top" shrinkToFit="1"/>
    </xf>
    <xf numFmtId="4" fontId="17" fillId="0" borderId="0" xfId="76" applyNumberFormat="1" applyFont="1" applyBorder="1" applyAlignment="1" applyProtection="1">
      <alignment horizontal="center" vertical="top" wrapText="1"/>
      <protection locked="0"/>
    </xf>
    <xf numFmtId="4" fontId="17" fillId="0" borderId="0" xfId="96" applyNumberFormat="1" applyFont="1" applyBorder="1" applyAlignment="1" applyProtection="1">
      <alignment horizontal="right" vertical="top" shrinkToFit="1"/>
      <protection locked="0"/>
    </xf>
    <xf numFmtId="4" fontId="17" fillId="0" borderId="0" xfId="105" applyNumberFormat="1" applyFont="1" applyBorder="1" applyAlignment="1" applyProtection="1">
      <alignment horizontal="right" vertical="top" shrinkToFit="1"/>
      <protection locked="0"/>
    </xf>
    <xf numFmtId="4" fontId="17" fillId="0" borderId="0" xfId="92" applyNumberFormat="1" applyFont="1" applyBorder="1" applyAlignment="1" applyProtection="1">
      <alignment horizontal="center" vertical="top"/>
      <protection locked="0"/>
    </xf>
    <xf numFmtId="4" fontId="17" fillId="0" borderId="0" xfId="92" applyNumberFormat="1" applyFont="1" applyAlignment="1" applyProtection="1">
      <alignment horizontal="center" vertical="top"/>
      <protection locked="0"/>
    </xf>
    <xf numFmtId="4" fontId="4" fillId="0" borderId="0" xfId="0" applyNumberFormat="1" applyFont="1" applyAlignment="1" applyProtection="1">
      <alignment vertical="top"/>
      <protection locked="0"/>
    </xf>
    <xf numFmtId="49" fontId="17" fillId="0" borderId="0" xfId="92" applyNumberFormat="1" applyFont="1" applyBorder="1" applyAlignment="1" applyProtection="1">
      <alignment horizontal="center" vertical="top"/>
      <protection locked="0"/>
    </xf>
    <xf numFmtId="4" fontId="17" fillId="0" borderId="0" xfId="36" applyNumberFormat="1" applyFont="1" applyAlignment="1" applyProtection="1">
      <alignment vertical="top"/>
      <protection locked="0"/>
    </xf>
    <xf numFmtId="49" fontId="17" fillId="0" borderId="0" xfId="92" applyNumberFormat="1" applyFont="1" applyAlignment="1" applyProtection="1">
      <alignment horizontal="center" vertical="top"/>
      <protection locked="0"/>
    </xf>
    <xf numFmtId="4" fontId="17" fillId="0" borderId="0" xfId="80" applyNumberFormat="1" applyFont="1" applyAlignment="1" applyProtection="1">
      <alignment horizontal="center" vertical="top"/>
      <protection locked="0"/>
    </xf>
    <xf numFmtId="4" fontId="17" fillId="0" borderId="0" xfId="107" applyNumberFormat="1" applyFont="1" applyAlignment="1" applyProtection="1">
      <alignment horizontal="center" vertical="top"/>
      <protection locked="0"/>
    </xf>
    <xf numFmtId="0" fontId="4" fillId="0" borderId="0" xfId="0" applyFont="1" applyAlignment="1" applyProtection="1">
      <alignment vertical="top"/>
      <protection locked="0"/>
    </xf>
    <xf numFmtId="0" fontId="21" fillId="0" borderId="0" xfId="0" applyFont="1" applyProtection="1">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5" fillId="0" borderId="0" xfId="0" applyFont="1" applyBorder="1" applyProtection="1">
      <protection locked="0"/>
    </xf>
    <xf numFmtId="4" fontId="16" fillId="6" borderId="17" xfId="96" applyNumberFormat="1" applyFont="1" applyFill="1" applyBorder="1" applyAlignment="1" applyProtection="1">
      <alignment horizontal="right" vertical="top" shrinkToFit="1"/>
      <protection locked="0"/>
    </xf>
    <xf numFmtId="4" fontId="16" fillId="7" borderId="17" xfId="96" applyNumberFormat="1" applyFont="1" applyFill="1" applyBorder="1" applyAlignment="1" applyProtection="1">
      <alignment horizontal="right" vertical="top" shrinkToFit="1"/>
      <protection locked="0"/>
    </xf>
    <xf numFmtId="4" fontId="16" fillId="7" borderId="17" xfId="96" applyNumberFormat="1" applyFont="1" applyFill="1" applyBorder="1" applyAlignment="1" applyProtection="1">
      <alignment vertical="top" shrinkToFit="1"/>
      <protection locked="0"/>
    </xf>
    <xf numFmtId="0" fontId="6" fillId="0" borderId="0" xfId="0" applyFont="1" applyBorder="1" applyProtection="1">
      <protection locked="0"/>
    </xf>
    <xf numFmtId="49" fontId="32" fillId="0" borderId="17" xfId="0" applyNumberFormat="1" applyFont="1" applyBorder="1" applyAlignment="1">
      <alignment horizontal="center" vertical="top" wrapText="1"/>
    </xf>
    <xf numFmtId="49" fontId="4" fillId="2" borderId="17" xfId="88" applyNumberFormat="1" applyFont="1" applyBorder="1" applyAlignment="1" applyProtection="1">
      <alignment horizontal="center" vertical="top" wrapText="1"/>
      <protection locked="0"/>
    </xf>
    <xf numFmtId="49" fontId="4" fillId="0" borderId="17" xfId="76" applyNumberFormat="1" applyFont="1" applyBorder="1" applyAlignment="1" applyProtection="1">
      <alignment horizontal="center" vertical="top" wrapText="1"/>
      <protection locked="0"/>
    </xf>
    <xf numFmtId="4" fontId="17" fillId="2" borderId="0" xfId="52" applyNumberFormat="1" applyFont="1" applyAlignment="1" applyProtection="1">
      <alignment vertical="top"/>
      <protection locked="0"/>
    </xf>
    <xf numFmtId="4" fontId="19" fillId="0" borderId="17" xfId="21" applyNumberFormat="1" applyFont="1" applyBorder="1" applyAlignment="1" applyProtection="1">
      <alignment horizontal="center" vertical="center"/>
      <protection locked="0"/>
    </xf>
    <xf numFmtId="4" fontId="19" fillId="0" borderId="17" xfId="21" applyNumberFormat="1" applyFont="1" applyBorder="1" applyAlignment="1" applyProtection="1">
      <alignment horizontal="center" vertical="center" wrapText="1"/>
      <protection locked="0"/>
    </xf>
    <xf numFmtId="4" fontId="19" fillId="0" borderId="17" xfId="22" applyNumberFormat="1" applyFont="1" applyBorder="1" applyAlignment="1" applyProtection="1">
      <alignment horizontal="center" vertical="center"/>
      <protection locked="0"/>
    </xf>
    <xf numFmtId="4" fontId="17" fillId="4" borderId="17" xfId="96" applyNumberFormat="1" applyFont="1" applyFill="1" applyBorder="1" applyAlignment="1" applyProtection="1">
      <alignment horizontal="right" vertical="top" shrinkToFit="1"/>
      <protection locked="0"/>
    </xf>
    <xf numFmtId="4" fontId="4" fillId="0" borderId="17" xfId="115" applyNumberFormat="1" applyFont="1" applyFill="1" applyBorder="1" applyAlignment="1" applyProtection="1">
      <alignment vertical="top" shrinkToFit="1"/>
    </xf>
    <xf numFmtId="4" fontId="16" fillId="0" borderId="17" xfId="96" applyNumberFormat="1" applyFont="1" applyBorder="1" applyAlignment="1" applyProtection="1">
      <alignment horizontal="right" vertical="top" shrinkToFit="1"/>
      <protection locked="0"/>
    </xf>
    <xf numFmtId="4" fontId="17" fillId="0" borderId="17" xfId="105" applyNumberFormat="1" applyFont="1" applyBorder="1" applyAlignment="1" applyProtection="1">
      <alignment horizontal="right" vertical="top" shrinkToFit="1"/>
      <protection locked="0"/>
    </xf>
    <xf numFmtId="0" fontId="22" fillId="0" borderId="0" xfId="24" applyNumberFormat="1" applyFont="1" applyBorder="1" applyAlignment="1" applyProtection="1">
      <alignment horizontal="center" vertical="top" wrapText="1"/>
      <protection locked="0"/>
    </xf>
    <xf numFmtId="4" fontId="19" fillId="0" borderId="17" xfId="0" applyNumberFormat="1" applyFont="1" applyFill="1" applyBorder="1" applyAlignment="1" applyProtection="1">
      <alignment horizontal="center" vertical="center"/>
    </xf>
    <xf numFmtId="4" fontId="4" fillId="0" borderId="17" xfId="115" applyNumberFormat="1" applyFont="1" applyFill="1" applyBorder="1" applyAlignment="1" applyProtection="1">
      <alignment horizontal="right" vertical="top" shrinkToFit="1"/>
    </xf>
    <xf numFmtId="49" fontId="4" fillId="4" borderId="17" xfId="88" applyNumberFormat="1" applyFont="1" applyFill="1" applyBorder="1" applyAlignment="1" applyProtection="1">
      <alignment horizontal="center" vertical="top" wrapText="1"/>
      <protection locked="0"/>
    </xf>
    <xf numFmtId="4" fontId="16" fillId="4" borderId="17" xfId="96" applyNumberFormat="1" applyFont="1" applyFill="1" applyBorder="1" applyAlignment="1" applyProtection="1">
      <alignment vertical="top" shrinkToFit="1"/>
      <protection locked="0"/>
    </xf>
    <xf numFmtId="4" fontId="17" fillId="4" borderId="17" xfId="96" applyNumberFormat="1" applyFont="1" applyFill="1" applyBorder="1" applyAlignment="1" applyProtection="1">
      <alignment vertical="top" shrinkToFit="1"/>
      <protection locked="0"/>
    </xf>
    <xf numFmtId="49" fontId="19" fillId="0" borderId="17" xfId="21" applyNumberFormat="1" applyFont="1" applyBorder="1" applyAlignment="1" applyProtection="1">
      <alignment horizontal="center" vertical="center" wrapText="1"/>
      <protection locked="0"/>
    </xf>
    <xf numFmtId="0" fontId="21" fillId="0" borderId="17" xfId="74" applyNumberFormat="1" applyFont="1" applyBorder="1" applyAlignment="1" applyProtection="1">
      <alignment horizontal="center" vertical="center" wrapText="1"/>
      <protection locked="0"/>
    </xf>
    <xf numFmtId="49" fontId="17" fillId="0" borderId="17" xfId="76" applyNumberFormat="1" applyFont="1" applyFill="1" applyBorder="1" applyAlignment="1" applyProtection="1">
      <alignment horizontal="center" vertical="top" wrapText="1"/>
      <protection locked="0"/>
    </xf>
    <xf numFmtId="49" fontId="25" fillId="0" borderId="17" xfId="112" applyNumberFormat="1" applyFont="1" applyFill="1" applyBorder="1" applyAlignment="1">
      <alignment horizontal="center" vertical="top" wrapText="1"/>
    </xf>
    <xf numFmtId="49" fontId="27" fillId="0" borderId="17" xfId="76" applyNumberFormat="1" applyFont="1" applyBorder="1" applyAlignment="1" applyProtection="1">
      <alignment horizontal="center" vertical="top" wrapText="1"/>
      <protection locked="0"/>
    </xf>
    <xf numFmtId="49" fontId="21" fillId="0" borderId="17" xfId="111" applyNumberFormat="1" applyFont="1" applyFill="1" applyBorder="1" applyAlignment="1" applyProtection="1">
      <alignment horizontal="center" vertical="top" wrapText="1"/>
    </xf>
    <xf numFmtId="49" fontId="30" fillId="2" borderId="17" xfId="88" applyNumberFormat="1" applyFont="1" applyBorder="1" applyAlignment="1" applyProtection="1">
      <alignment horizontal="center" vertical="top" wrapText="1"/>
      <protection locked="0"/>
    </xf>
    <xf numFmtId="49" fontId="30" fillId="0" borderId="17" xfId="76" applyNumberFormat="1" applyFont="1" applyBorder="1" applyAlignment="1" applyProtection="1">
      <alignment horizontal="center" vertical="top" wrapText="1"/>
      <protection locked="0"/>
    </xf>
    <xf numFmtId="4" fontId="17" fillId="0" borderId="17" xfId="96" applyNumberFormat="1" applyFont="1" applyBorder="1" applyAlignment="1" applyProtection="1">
      <alignment vertical="top" shrinkToFit="1"/>
      <protection locked="0"/>
    </xf>
    <xf numFmtId="4" fontId="17" fillId="0" borderId="17" xfId="105" applyNumberFormat="1" applyFont="1" applyBorder="1" applyAlignment="1" applyProtection="1">
      <alignment vertical="top" shrinkToFit="1"/>
      <protection locked="0"/>
    </xf>
    <xf numFmtId="4" fontId="26" fillId="0" borderId="17" xfId="96" applyNumberFormat="1" applyFont="1" applyBorder="1" applyAlignment="1" applyProtection="1">
      <alignment horizontal="right" vertical="top" shrinkToFit="1"/>
      <protection locked="0"/>
    </xf>
    <xf numFmtId="4" fontId="4" fillId="0" borderId="17" xfId="105" applyNumberFormat="1" applyFont="1" applyBorder="1" applyAlignment="1" applyProtection="1">
      <alignment horizontal="right" vertical="top" shrinkToFit="1"/>
      <protection locked="0"/>
    </xf>
    <xf numFmtId="4" fontId="25" fillId="0" borderId="17" xfId="105" applyNumberFormat="1" applyFont="1" applyBorder="1" applyAlignment="1" applyProtection="1">
      <alignment horizontal="right" vertical="top" shrinkToFit="1"/>
      <protection locked="0"/>
    </xf>
    <xf numFmtId="4" fontId="16" fillId="0" borderId="17" xfId="96" applyNumberFormat="1" applyFont="1" applyBorder="1" applyAlignment="1" applyProtection="1">
      <alignment vertical="top" shrinkToFit="1"/>
      <protection locked="0"/>
    </xf>
    <xf numFmtId="4" fontId="26" fillId="0" borderId="17" xfId="96" applyNumberFormat="1" applyFont="1" applyBorder="1" applyAlignment="1" applyProtection="1">
      <alignment vertical="top" shrinkToFit="1"/>
      <protection locked="0"/>
    </xf>
    <xf numFmtId="49" fontId="19" fillId="2" borderId="17" xfId="0" applyNumberFormat="1" applyFont="1" applyFill="1" applyBorder="1" applyAlignment="1" applyProtection="1">
      <alignment horizontal="center" vertical="center" wrapText="1"/>
    </xf>
    <xf numFmtId="0" fontId="21" fillId="0" borderId="17" xfId="43" applyNumberFormat="1" applyFont="1" applyBorder="1" applyAlignment="1" applyProtection="1">
      <alignment horizontal="center" vertical="center"/>
      <protection locked="0"/>
    </xf>
    <xf numFmtId="49" fontId="21" fillId="2" borderId="17" xfId="59" applyNumberFormat="1" applyFont="1" applyBorder="1" applyAlignment="1" applyProtection="1">
      <alignment horizontal="center" vertical="center"/>
      <protection locked="0"/>
    </xf>
    <xf numFmtId="0" fontId="21" fillId="0" borderId="17" xfId="74" applyNumberFormat="1" applyFont="1" applyBorder="1" applyAlignment="1" applyProtection="1">
      <alignment horizontal="center" vertical="center"/>
      <protection locked="0"/>
    </xf>
    <xf numFmtId="3" fontId="21" fillId="0" borderId="17" xfId="74" applyNumberFormat="1" applyFont="1" applyBorder="1" applyAlignment="1" applyProtection="1">
      <alignment horizontal="center" vertical="center"/>
      <protection locked="0"/>
    </xf>
    <xf numFmtId="4" fontId="19" fillId="0" borderId="17" xfId="22" applyNumberFormat="1" applyFont="1" applyBorder="1" applyAlignment="1" applyProtection="1">
      <alignment horizontal="center" vertical="center" wrapText="1"/>
      <protection locked="0"/>
    </xf>
    <xf numFmtId="0" fontId="22" fillId="0" borderId="0" xfId="80" applyNumberFormat="1" applyFont="1" applyBorder="1" applyAlignment="1" applyProtection="1">
      <alignment horizontal="center" vertical="top" wrapText="1"/>
      <protection locked="0"/>
    </xf>
    <xf numFmtId="49" fontId="17" fillId="0" borderId="2" xfId="131" applyNumberFormat="1" applyFont="1" applyProtection="1">
      <alignment horizontal="center" vertical="top" shrinkToFit="1"/>
    </xf>
    <xf numFmtId="4" fontId="17" fillId="0" borderId="2" xfId="141" applyNumberFormat="1" applyFont="1" applyFill="1" applyProtection="1">
      <alignment horizontal="right" vertical="top" shrinkToFit="1"/>
    </xf>
    <xf numFmtId="49" fontId="17" fillId="4" borderId="21" xfId="88" applyNumberFormat="1" applyFont="1" applyFill="1" applyBorder="1" applyAlignment="1" applyProtection="1">
      <alignment horizontal="center" vertical="top" wrapText="1"/>
      <protection locked="0"/>
    </xf>
    <xf numFmtId="49" fontId="17" fillId="4" borderId="21" xfId="76" applyNumberFormat="1" applyFont="1" applyFill="1" applyBorder="1" applyAlignment="1" applyProtection="1">
      <alignment horizontal="center" vertical="top" wrapText="1"/>
      <protection locked="0"/>
    </xf>
    <xf numFmtId="49" fontId="17" fillId="0" borderId="3" xfId="131" applyNumberFormat="1" applyFont="1" applyBorder="1" applyProtection="1">
      <alignment horizontal="center" vertical="top" shrinkToFit="1"/>
    </xf>
    <xf numFmtId="4" fontId="17" fillId="0" borderId="3" xfId="141" applyNumberFormat="1" applyFont="1" applyFill="1" applyBorder="1" applyProtection="1">
      <alignment horizontal="right" vertical="top" shrinkToFit="1"/>
    </xf>
    <xf numFmtId="49" fontId="17" fillId="0" borderId="17" xfId="131" applyNumberFormat="1" applyFont="1" applyBorder="1" applyProtection="1">
      <alignment horizontal="center" vertical="top" shrinkToFit="1"/>
    </xf>
    <xf numFmtId="4" fontId="17" fillId="0" borderId="17" xfId="141" applyNumberFormat="1" applyFont="1" applyFill="1" applyBorder="1" applyProtection="1">
      <alignment horizontal="right" vertical="top" shrinkToFit="1"/>
    </xf>
    <xf numFmtId="49" fontId="14" fillId="0" borderId="4" xfId="149" applyNumberFormat="1" applyFont="1" applyBorder="1" applyProtection="1">
      <alignment horizontal="center" vertical="top" wrapText="1"/>
    </xf>
    <xf numFmtId="0" fontId="19" fillId="0" borderId="3" xfId="111" applyNumberFormat="1" applyFont="1" applyBorder="1" applyAlignment="1" applyProtection="1">
      <alignment vertical="top" wrapText="1"/>
    </xf>
    <xf numFmtId="49" fontId="19" fillId="0" borderId="3" xfId="147" applyNumberFormat="1" applyFont="1" applyBorder="1" applyProtection="1">
      <alignment horizontal="center" vertical="top" wrapText="1"/>
    </xf>
    <xf numFmtId="49" fontId="19" fillId="0" borderId="4" xfId="149" applyNumberFormat="1" applyFont="1" applyBorder="1" applyProtection="1">
      <alignment horizontal="center" vertical="top" wrapText="1"/>
    </xf>
    <xf numFmtId="0" fontId="19" fillId="0" borderId="17" xfId="111" applyNumberFormat="1" applyFont="1" applyBorder="1" applyAlignment="1" applyProtection="1">
      <alignment vertical="top" wrapText="1"/>
    </xf>
    <xf numFmtId="49" fontId="19" fillId="0" borderId="17" xfId="147" applyNumberFormat="1" applyFont="1" applyBorder="1" applyProtection="1">
      <alignment horizontal="center" vertical="top" wrapText="1"/>
    </xf>
    <xf numFmtId="0" fontId="19" fillId="0" borderId="17" xfId="148" applyNumberFormat="1" applyFont="1" applyBorder="1" applyProtection="1">
      <alignment vertical="top" wrapText="1"/>
    </xf>
    <xf numFmtId="49" fontId="19" fillId="0" borderId="17" xfId="149" applyNumberFormat="1" applyFont="1" applyBorder="1" applyProtection="1">
      <alignment horizontal="center" vertical="top" wrapText="1"/>
    </xf>
    <xf numFmtId="0" fontId="19" fillId="0" borderId="17" xfId="149" applyNumberFormat="1" applyFont="1" applyBorder="1" applyProtection="1">
      <alignment horizontal="center" vertical="top" wrapText="1"/>
    </xf>
    <xf numFmtId="0" fontId="19" fillId="0" borderId="0" xfId="0" applyNumberFormat="1" applyFont="1" applyFill="1" applyBorder="1" applyAlignment="1" applyProtection="1">
      <alignment horizontal="left" vertical="top" wrapText="1"/>
    </xf>
    <xf numFmtId="0" fontId="19" fillId="0" borderId="17" xfId="111" applyNumberFormat="1" applyFont="1" applyBorder="1" applyAlignment="1" applyProtection="1">
      <alignment horizontal="left" vertical="top" wrapText="1"/>
    </xf>
    <xf numFmtId="49" fontId="19" fillId="0" borderId="17" xfId="147" applyNumberFormat="1" applyFont="1" applyBorder="1" applyAlignment="1" applyProtection="1">
      <alignment horizontal="left" vertical="top" wrapText="1"/>
    </xf>
    <xf numFmtId="49" fontId="19" fillId="0" borderId="17" xfId="76" applyNumberFormat="1" applyFont="1" applyBorder="1" applyAlignment="1" applyProtection="1">
      <alignment horizontal="left" vertical="top" wrapText="1"/>
      <protection locked="0"/>
    </xf>
    <xf numFmtId="0" fontId="19" fillId="0" borderId="17" xfId="148" applyNumberFormat="1" applyFont="1" applyBorder="1" applyAlignment="1" applyProtection="1">
      <alignment horizontal="left" vertical="top" wrapText="1"/>
    </xf>
    <xf numFmtId="49" fontId="19" fillId="0" borderId="17" xfId="149" applyNumberFormat="1" applyFont="1" applyBorder="1" applyAlignment="1" applyProtection="1">
      <alignment horizontal="left" vertical="top" wrapText="1"/>
    </xf>
    <xf numFmtId="0" fontId="19" fillId="0" borderId="17" xfId="149" applyNumberFormat="1" applyFont="1" applyBorder="1" applyAlignment="1" applyProtection="1">
      <alignment horizontal="left" vertical="top" wrapText="1"/>
    </xf>
    <xf numFmtId="0" fontId="21" fillId="0" borderId="17" xfId="105" applyNumberFormat="1" applyFont="1" applyBorder="1" applyAlignment="1" applyProtection="1">
      <alignment horizontal="left" vertical="top" wrapText="1"/>
    </xf>
    <xf numFmtId="0" fontId="21" fillId="0" borderId="17" xfId="104" applyNumberFormat="1" applyFont="1" applyBorder="1" applyAlignment="1" applyProtection="1">
      <alignment horizontal="left" vertical="top" wrapText="1"/>
    </xf>
    <xf numFmtId="0" fontId="21" fillId="0" borderId="17" xfId="0" applyFont="1" applyBorder="1" applyAlignment="1" applyProtection="1">
      <alignment horizontal="left" vertical="top" wrapText="1"/>
      <protection locked="0"/>
    </xf>
    <xf numFmtId="2" fontId="19" fillId="0" borderId="17" xfId="76" applyNumberFormat="1" applyFont="1" applyBorder="1" applyAlignment="1" applyProtection="1">
      <alignment horizontal="left" vertical="top" wrapText="1"/>
      <protection locked="0"/>
    </xf>
    <xf numFmtId="0" fontId="21" fillId="0" borderId="17" xfId="0" applyFont="1" applyFill="1" applyBorder="1" applyAlignment="1">
      <alignment horizontal="left" vertical="top" wrapText="1"/>
    </xf>
    <xf numFmtId="0" fontId="19" fillId="0" borderId="17" xfId="76" applyNumberFormat="1" applyFont="1" applyBorder="1" applyAlignment="1" applyProtection="1">
      <alignment horizontal="left" vertical="top" wrapText="1"/>
      <protection locked="0"/>
    </xf>
    <xf numFmtId="0" fontId="21" fillId="0" borderId="17" xfId="0" applyFont="1" applyBorder="1" applyAlignment="1">
      <alignment horizontal="left" wrapText="1"/>
    </xf>
    <xf numFmtId="49" fontId="19" fillId="4" borderId="17" xfId="76" applyNumberFormat="1" applyFont="1" applyFill="1" applyBorder="1" applyAlignment="1" applyProtection="1">
      <alignment horizontal="left" vertical="top" wrapText="1"/>
      <protection locked="0"/>
    </xf>
    <xf numFmtId="49" fontId="21" fillId="0" borderId="17" xfId="76" applyNumberFormat="1" applyFont="1" applyBorder="1" applyAlignment="1" applyProtection="1">
      <alignment horizontal="left" vertical="top" wrapText="1"/>
      <protection locked="0"/>
    </xf>
    <xf numFmtId="49" fontId="27" fillId="0" borderId="17" xfId="76" applyNumberFormat="1" applyFont="1" applyBorder="1" applyAlignment="1" applyProtection="1">
      <alignment horizontal="left" vertical="top" wrapText="1"/>
      <protection locked="0"/>
    </xf>
    <xf numFmtId="0" fontId="21" fillId="0" borderId="17" xfId="76" applyNumberFormat="1" applyFont="1" applyBorder="1" applyAlignment="1" applyProtection="1">
      <alignment horizontal="left" vertical="top" wrapText="1"/>
      <protection locked="0"/>
    </xf>
    <xf numFmtId="49" fontId="21" fillId="0" borderId="17" xfId="110" applyNumberFormat="1" applyFont="1" applyFill="1" applyBorder="1" applyAlignment="1" applyProtection="1">
      <alignment horizontal="left" vertical="top" wrapText="1"/>
    </xf>
    <xf numFmtId="49" fontId="21" fillId="0" borderId="17" xfId="111" applyNumberFormat="1" applyFont="1" applyFill="1" applyBorder="1" applyAlignment="1" applyProtection="1">
      <alignment horizontal="left" vertical="top" wrapText="1"/>
    </xf>
    <xf numFmtId="0" fontId="29" fillId="0" borderId="17" xfId="105" applyNumberFormat="1" applyFont="1" applyBorder="1" applyAlignment="1" applyProtection="1">
      <alignment horizontal="left" vertical="top" wrapText="1"/>
    </xf>
    <xf numFmtId="49" fontId="29" fillId="0" borderId="17" xfId="76" applyNumberFormat="1" applyFont="1" applyBorder="1" applyAlignment="1" applyProtection="1">
      <alignment horizontal="left" vertical="top" wrapText="1"/>
      <protection locked="0"/>
    </xf>
    <xf numFmtId="49" fontId="32" fillId="0" borderId="17" xfId="0" applyNumberFormat="1" applyFont="1" applyBorder="1" applyAlignment="1">
      <alignment horizontal="left" vertical="top" wrapText="1"/>
    </xf>
    <xf numFmtId="49" fontId="19" fillId="0" borderId="0" xfId="76" applyNumberFormat="1" applyFont="1" applyBorder="1" applyAlignment="1" applyProtection="1">
      <alignment horizontal="left" vertical="top" wrapText="1"/>
      <protection locked="0"/>
    </xf>
    <xf numFmtId="0" fontId="19" fillId="0" borderId="0" xfId="80" applyNumberFormat="1" applyFont="1" applyBorder="1" applyAlignment="1" applyProtection="1">
      <alignment horizontal="left" vertical="top" wrapText="1"/>
      <protection locked="0"/>
    </xf>
    <xf numFmtId="0" fontId="22" fillId="0" borderId="0" xfId="82" applyNumberFormat="1"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19" fillId="0" borderId="0" xfId="80" applyNumberFormat="1"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19" fillId="0" borderId="3" xfId="147" applyNumberFormat="1" applyFont="1" applyBorder="1" applyProtection="1">
      <alignment horizontal="center" vertical="top" wrapText="1"/>
    </xf>
    <xf numFmtId="0" fontId="19" fillId="0" borderId="17" xfId="147" applyNumberFormat="1" applyFont="1" applyBorder="1" applyProtection="1">
      <alignment horizontal="center" vertical="top" wrapText="1"/>
    </xf>
    <xf numFmtId="0" fontId="19" fillId="0" borderId="17" xfId="147" applyNumberFormat="1" applyFont="1" applyBorder="1" applyAlignment="1" applyProtection="1">
      <alignment horizontal="center" vertical="top" wrapText="1"/>
    </xf>
    <xf numFmtId="0" fontId="19" fillId="0" borderId="17" xfId="149" applyNumberFormat="1" applyFont="1" applyBorder="1" applyAlignment="1" applyProtection="1">
      <alignment horizontal="center" vertical="top" wrapText="1"/>
    </xf>
    <xf numFmtId="49" fontId="19" fillId="0" borderId="3" xfId="147" applyNumberFormat="1" applyFont="1" applyBorder="1" applyAlignment="1" applyProtection="1">
      <alignment horizontal="left" vertical="top" wrapText="1"/>
    </xf>
    <xf numFmtId="0" fontId="19" fillId="0" borderId="3" xfId="147" applyNumberFormat="1" applyFont="1" applyBorder="1" applyAlignment="1" applyProtection="1">
      <alignment horizontal="left" vertical="top" wrapText="1"/>
    </xf>
    <xf numFmtId="0" fontId="29" fillId="0" borderId="17" xfId="104" applyNumberFormat="1" applyFont="1" applyBorder="1" applyAlignment="1" applyProtection="1">
      <alignment horizontal="left" vertical="top" wrapText="1"/>
    </xf>
    <xf numFmtId="49" fontId="19" fillId="0" borderId="4" xfId="149" applyNumberFormat="1" applyFont="1" applyBorder="1" applyAlignment="1" applyProtection="1">
      <alignment horizontal="left" vertical="top" wrapText="1"/>
    </xf>
    <xf numFmtId="49" fontId="19" fillId="0" borderId="17" xfId="147" applyNumberFormat="1" applyFont="1" applyBorder="1" applyAlignment="1" applyProtection="1">
      <alignment horizontal="center" vertical="top" wrapText="1"/>
    </xf>
    <xf numFmtId="49" fontId="19" fillId="0" borderId="17" xfId="149" applyNumberFormat="1" applyFont="1" applyBorder="1" applyAlignment="1" applyProtection="1">
      <alignment horizontal="center" vertical="top" wrapText="1"/>
    </xf>
    <xf numFmtId="49" fontId="19" fillId="0" borderId="3" xfId="147" applyNumberFormat="1" applyFont="1" applyBorder="1" applyAlignment="1" applyProtection="1">
      <alignment horizontal="center" vertical="top" wrapText="1"/>
    </xf>
    <xf numFmtId="0" fontId="19" fillId="0" borderId="3" xfId="147" applyNumberFormat="1" applyFont="1" applyBorder="1" applyAlignment="1" applyProtection="1">
      <alignment horizontal="center" vertical="top" wrapText="1"/>
    </xf>
    <xf numFmtId="49" fontId="29" fillId="0" borderId="17" xfId="110" applyNumberFormat="1" applyFont="1" applyBorder="1" applyAlignment="1" applyProtection="1">
      <alignment horizontal="center" vertical="top" wrapText="1"/>
    </xf>
    <xf numFmtId="49" fontId="19" fillId="0" borderId="4" xfId="149" applyNumberFormat="1" applyFont="1" applyBorder="1" applyAlignment="1" applyProtection="1">
      <alignment horizontal="center" vertical="top" wrapText="1"/>
    </xf>
    <xf numFmtId="0" fontId="28" fillId="2" borderId="17" xfId="51" applyNumberFormat="1" applyFont="1" applyBorder="1" applyAlignment="1" applyProtection="1">
      <alignment horizontal="center" vertical="top" shrinkToFit="1"/>
    </xf>
    <xf numFmtId="49" fontId="19" fillId="0" borderId="23" xfId="149" applyNumberFormat="1" applyFont="1" applyBorder="1" applyAlignment="1" applyProtection="1">
      <alignment horizontal="center" vertical="top" wrapText="1"/>
    </xf>
    <xf numFmtId="49" fontId="19" fillId="0" borderId="24" xfId="149" applyNumberFormat="1" applyFont="1" applyBorder="1" applyAlignment="1" applyProtection="1">
      <alignment horizontal="center" vertical="top" wrapText="1"/>
    </xf>
    <xf numFmtId="49" fontId="21" fillId="0" borderId="23" xfId="111" applyNumberFormat="1" applyFont="1" applyBorder="1" applyAlignment="1" applyProtection="1">
      <alignment horizontal="center" vertical="top" wrapText="1"/>
    </xf>
    <xf numFmtId="4" fontId="19" fillId="0" borderId="17" xfId="149" applyNumberFormat="1" applyFont="1" applyBorder="1" applyAlignment="1" applyProtection="1">
      <alignment horizontal="left" vertical="top" wrapText="1"/>
    </xf>
    <xf numFmtId="49" fontId="21" fillId="0" borderId="22" xfId="110" applyNumberFormat="1" applyFont="1" applyBorder="1" applyAlignment="1" applyProtection="1">
      <alignment horizontal="center" vertical="top" wrapText="1"/>
    </xf>
    <xf numFmtId="0" fontId="19" fillId="0" borderId="17" xfId="147" applyNumberFormat="1" applyFont="1" applyBorder="1" applyAlignment="1" applyProtection="1">
      <alignment horizontal="left" vertical="top" wrapText="1"/>
    </xf>
    <xf numFmtId="49" fontId="19" fillId="0" borderId="26" xfId="147" applyNumberFormat="1" applyFont="1" applyBorder="1" applyProtection="1">
      <alignment horizontal="center" vertical="top" wrapText="1"/>
    </xf>
    <xf numFmtId="49" fontId="21" fillId="0" borderId="23" xfId="110" applyNumberFormat="1" applyFont="1" applyBorder="1" applyAlignment="1" applyProtection="1">
      <alignment horizontal="center" vertical="top" wrapText="1"/>
    </xf>
    <xf numFmtId="49" fontId="21" fillId="0" borderId="17" xfId="147" applyNumberFormat="1" applyFont="1" applyBorder="1" applyProtection="1">
      <alignment horizontal="center" vertical="top" wrapText="1"/>
    </xf>
    <xf numFmtId="4" fontId="26" fillId="0" borderId="17" xfId="105" applyNumberFormat="1" applyFont="1" applyBorder="1" applyAlignment="1" applyProtection="1">
      <alignment horizontal="right" vertical="top" shrinkToFit="1"/>
      <protection locked="0"/>
    </xf>
    <xf numFmtId="49" fontId="19" fillId="0" borderId="0" xfId="149" applyNumberFormat="1" applyFont="1" applyBorder="1" applyAlignment="1" applyProtection="1">
      <alignment horizontal="left" vertical="top" wrapText="1"/>
    </xf>
    <xf numFmtId="49" fontId="19" fillId="0" borderId="0" xfId="149" applyNumberFormat="1" applyFont="1" applyBorder="1" applyProtection="1">
      <alignment horizontal="center" vertical="top" wrapText="1"/>
    </xf>
    <xf numFmtId="49" fontId="14" fillId="0" borderId="0" xfId="149" applyNumberFormat="1" applyFont="1" applyBorder="1" applyProtection="1">
      <alignment horizontal="center" vertical="top" wrapText="1"/>
    </xf>
    <xf numFmtId="0" fontId="3" fillId="0" borderId="17" xfId="0" applyFont="1" applyBorder="1" applyProtection="1">
      <protection locked="0"/>
    </xf>
    <xf numFmtId="49" fontId="26" fillId="4" borderId="17" xfId="88" applyNumberFormat="1" applyFont="1" applyFill="1" applyBorder="1" applyAlignment="1" applyProtection="1">
      <alignment horizontal="center" vertical="top" wrapText="1"/>
      <protection locked="0"/>
    </xf>
    <xf numFmtId="49" fontId="26" fillId="4" borderId="17" xfId="76" applyNumberFormat="1" applyFont="1" applyFill="1" applyBorder="1" applyAlignment="1" applyProtection="1">
      <alignment horizontal="center" vertical="top" wrapText="1"/>
      <protection locked="0"/>
    </xf>
    <xf numFmtId="4" fontId="4" fillId="0" borderId="17" xfId="91" applyNumberFormat="1" applyFont="1" applyFill="1" applyBorder="1" applyAlignment="1" applyProtection="1">
      <alignment horizontal="right" vertical="top" shrinkToFit="1"/>
    </xf>
    <xf numFmtId="4" fontId="4" fillId="0" borderId="17" xfId="92" applyNumberFormat="1" applyFont="1" applyFill="1" applyBorder="1" applyAlignment="1" applyProtection="1">
      <alignment horizontal="right" vertical="top" shrinkToFit="1"/>
    </xf>
    <xf numFmtId="4" fontId="26" fillId="4" borderId="17" xfId="96" applyNumberFormat="1" applyFont="1" applyFill="1" applyBorder="1" applyAlignment="1" applyProtection="1">
      <alignment vertical="top" shrinkToFit="1"/>
      <protection locked="0"/>
    </xf>
    <xf numFmtId="4" fontId="4" fillId="4" borderId="17" xfId="96" applyNumberFormat="1" applyFont="1" applyFill="1" applyBorder="1" applyAlignment="1" applyProtection="1">
      <alignment vertical="top" shrinkToFit="1"/>
      <protection locked="0"/>
    </xf>
    <xf numFmtId="4" fontId="4" fillId="0" borderId="17" xfId="0" applyNumberFormat="1" applyFont="1" applyBorder="1" applyAlignment="1" applyProtection="1">
      <alignment vertical="top"/>
      <protection locked="0"/>
    </xf>
    <xf numFmtId="49" fontId="19" fillId="0" borderId="4" xfId="147" applyNumberFormat="1" applyFont="1" applyBorder="1" applyAlignment="1" applyProtection="1">
      <alignment horizontal="left" vertical="top" wrapText="1"/>
    </xf>
    <xf numFmtId="49" fontId="19" fillId="0" borderId="4" xfId="147" applyNumberFormat="1" applyFont="1" applyBorder="1" applyAlignment="1" applyProtection="1">
      <alignment horizontal="center" vertical="top" wrapText="1"/>
    </xf>
    <xf numFmtId="0" fontId="3" fillId="0" borderId="0" xfId="0" applyFont="1" applyFill="1" applyProtection="1">
      <protection locked="0"/>
    </xf>
    <xf numFmtId="0" fontId="21" fillId="0" borderId="17" xfId="0" applyNumberFormat="1" applyFont="1" applyBorder="1" applyAlignment="1" applyProtection="1">
      <alignment wrapText="1"/>
      <protection locked="0"/>
    </xf>
    <xf numFmtId="0" fontId="21" fillId="0" borderId="17" xfId="111" applyNumberFormat="1" applyFont="1" applyBorder="1" applyAlignment="1" applyProtection="1">
      <alignment vertical="top" wrapText="1"/>
    </xf>
    <xf numFmtId="49" fontId="21" fillId="0" borderId="3" xfId="147" applyNumberFormat="1" applyFont="1" applyAlignment="1" applyProtection="1">
      <alignment horizontal="left" vertical="top" wrapText="1"/>
    </xf>
    <xf numFmtId="49" fontId="21" fillId="0" borderId="3" xfId="147" applyNumberFormat="1" applyFont="1" applyAlignment="1" applyProtection="1">
      <alignment horizontal="center" vertical="top" wrapText="1"/>
    </xf>
    <xf numFmtId="49" fontId="4" fillId="4" borderId="17" xfId="76" applyNumberFormat="1" applyFont="1" applyFill="1" applyBorder="1" applyAlignment="1" applyProtection="1">
      <alignment horizontal="center" vertical="top" wrapText="1"/>
      <protection locked="0"/>
    </xf>
    <xf numFmtId="4" fontId="26" fillId="4" borderId="17" xfId="96" applyNumberFormat="1" applyFont="1" applyFill="1" applyBorder="1" applyAlignment="1" applyProtection="1">
      <alignment horizontal="right" vertical="top" shrinkToFit="1"/>
      <protection locked="0"/>
    </xf>
    <xf numFmtId="0" fontId="21" fillId="0" borderId="17" xfId="148" applyNumberFormat="1" applyFont="1" applyBorder="1" applyProtection="1">
      <alignment vertical="top" wrapText="1"/>
    </xf>
    <xf numFmtId="49" fontId="21" fillId="0" borderId="17" xfId="149" applyNumberFormat="1" applyFont="1" applyBorder="1" applyProtection="1">
      <alignment horizontal="center" vertical="top" wrapText="1"/>
    </xf>
    <xf numFmtId="4" fontId="4" fillId="4" borderId="17" xfId="96" applyNumberFormat="1" applyFont="1" applyFill="1" applyBorder="1" applyAlignment="1" applyProtection="1">
      <alignment horizontal="right" vertical="top" shrinkToFit="1"/>
      <protection locked="0"/>
    </xf>
    <xf numFmtId="49" fontId="29" fillId="0" borderId="17" xfId="76" applyNumberFormat="1" applyFont="1" applyBorder="1" applyAlignment="1" applyProtection="1">
      <alignment horizontal="center" vertical="center" wrapText="1"/>
      <protection locked="0"/>
    </xf>
    <xf numFmtId="0" fontId="17" fillId="0" borderId="17" xfId="45" applyNumberFormat="1" applyFont="1" applyFill="1" applyBorder="1" applyAlignment="1" applyProtection="1">
      <alignment horizontal="left" vertical="top" wrapText="1"/>
      <protection locked="0"/>
    </xf>
    <xf numFmtId="0" fontId="19" fillId="0" borderId="17" xfId="45" applyNumberFormat="1" applyFont="1" applyFill="1" applyBorder="1" applyAlignment="1" applyProtection="1">
      <alignment horizontal="left" vertical="top" wrapText="1"/>
      <protection locked="0"/>
    </xf>
    <xf numFmtId="49" fontId="19" fillId="0" borderId="24" xfId="149" applyNumberFormat="1" applyFont="1" applyBorder="1" applyProtection="1">
      <alignment horizontal="center" vertical="top" wrapText="1"/>
    </xf>
    <xf numFmtId="0" fontId="32" fillId="0" borderId="17" xfId="0" applyNumberFormat="1" applyFont="1" applyBorder="1" applyAlignment="1">
      <alignment horizontal="left" vertical="top" wrapText="1"/>
    </xf>
    <xf numFmtId="49" fontId="19" fillId="0" borderId="23" xfId="149" applyNumberFormat="1" applyFont="1" applyBorder="1" applyProtection="1">
      <alignment horizontal="center" vertical="top" wrapText="1"/>
    </xf>
    <xf numFmtId="0" fontId="21" fillId="0" borderId="17" xfId="45" applyNumberFormat="1" applyFont="1" applyBorder="1" applyAlignment="1" applyProtection="1">
      <alignment vertical="top" wrapText="1"/>
      <protection locked="0"/>
    </xf>
    <xf numFmtId="0" fontId="19" fillId="0" borderId="27" xfId="45" applyNumberFormat="1" applyFont="1" applyFill="1" applyBorder="1" applyAlignment="1" applyProtection="1">
      <alignment horizontal="left" vertical="top" wrapText="1"/>
      <protection locked="0"/>
    </xf>
    <xf numFmtId="0" fontId="19" fillId="0" borderId="0" xfId="45" applyNumberFormat="1" applyFont="1" applyBorder="1" applyAlignment="1" applyProtection="1">
      <alignment vertical="top" wrapText="1"/>
      <protection locked="0"/>
    </xf>
    <xf numFmtId="0" fontId="19" fillId="0" borderId="0" xfId="37" applyNumberFormat="1" applyFont="1" applyAlignment="1" applyProtection="1">
      <alignment horizontal="left" vertical="top"/>
      <protection locked="0"/>
    </xf>
    <xf numFmtId="0" fontId="22" fillId="0" borderId="0" xfId="0" applyNumberFormat="1" applyFont="1" applyFill="1" applyBorder="1" applyAlignment="1" applyProtection="1">
      <alignment horizontal="center"/>
    </xf>
    <xf numFmtId="0" fontId="21" fillId="0" borderId="0" xfId="0" applyFont="1" applyAlignment="1" applyProtection="1">
      <alignment vertical="top"/>
      <protection locked="0"/>
    </xf>
    <xf numFmtId="49" fontId="17" fillId="0" borderId="17" xfId="45" applyNumberFormat="1" applyFont="1" applyFill="1" applyBorder="1" applyAlignment="1" applyProtection="1">
      <alignment horizontal="center" vertical="top" wrapText="1"/>
      <protection locked="0"/>
    </xf>
    <xf numFmtId="0" fontId="17" fillId="0" borderId="0" xfId="90" applyNumberFormat="1" applyFont="1" applyBorder="1" applyAlignment="1" applyProtection="1">
      <alignment horizontal="center" vertical="top"/>
      <protection locked="0"/>
    </xf>
    <xf numFmtId="49" fontId="17" fillId="0" borderId="2" xfId="131" applyNumberFormat="1" applyFont="1" applyAlignment="1" applyProtection="1">
      <alignment horizontal="center" vertical="top" shrinkToFit="1"/>
    </xf>
    <xf numFmtId="49" fontId="17" fillId="0" borderId="3" xfId="131" applyNumberFormat="1" applyFont="1" applyBorder="1" applyAlignment="1" applyProtection="1">
      <alignment horizontal="center" vertical="top" shrinkToFit="1"/>
    </xf>
    <xf numFmtId="49" fontId="17" fillId="0" borderId="17" xfId="131" applyNumberFormat="1" applyFont="1" applyBorder="1" applyAlignment="1" applyProtection="1">
      <alignment horizontal="center" vertical="top" shrinkToFit="1"/>
    </xf>
    <xf numFmtId="0" fontId="17" fillId="0" borderId="17" xfId="45" applyNumberFormat="1" applyFont="1" applyFill="1" applyBorder="1" applyAlignment="1" applyProtection="1">
      <alignment horizontal="center" vertical="top" wrapText="1"/>
      <protection locked="0"/>
    </xf>
    <xf numFmtId="4" fontId="4" fillId="0" borderId="0" xfId="0" applyNumberFormat="1" applyFont="1" applyAlignment="1" applyProtection="1">
      <alignment horizontal="center" vertical="top"/>
      <protection locked="0"/>
    </xf>
    <xf numFmtId="0" fontId="4" fillId="0" borderId="0" xfId="0" applyFont="1" applyAlignment="1" applyProtection="1">
      <alignment horizontal="center" vertical="top"/>
      <protection locked="0"/>
    </xf>
    <xf numFmtId="4" fontId="16" fillId="0" borderId="17" xfId="96" applyNumberFormat="1" applyFont="1" applyFill="1" applyBorder="1" applyAlignment="1" applyProtection="1">
      <alignment horizontal="right" vertical="top" shrinkToFit="1"/>
      <protection locked="0"/>
    </xf>
    <xf numFmtId="49" fontId="16" fillId="2" borderId="17" xfId="88" applyNumberFormat="1" applyFont="1" applyBorder="1" applyAlignment="1" applyProtection="1">
      <alignment horizontal="center" vertical="top" wrapText="1"/>
      <protection locked="0"/>
    </xf>
    <xf numFmtId="49" fontId="16" fillId="0" borderId="17" xfId="76" applyNumberFormat="1" applyFont="1" applyBorder="1" applyAlignment="1" applyProtection="1">
      <alignment horizontal="center" vertical="top" wrapText="1"/>
      <protection locked="0"/>
    </xf>
    <xf numFmtId="4" fontId="16" fillId="0" borderId="21" xfId="96" applyNumberFormat="1" applyFont="1" applyFill="1" applyBorder="1" applyAlignment="1" applyProtection="1">
      <alignment horizontal="right" vertical="top" shrinkToFit="1"/>
      <protection locked="0"/>
    </xf>
    <xf numFmtId="0" fontId="5" fillId="0" borderId="0" xfId="0" applyFont="1" applyFill="1" applyProtection="1">
      <protection locked="0"/>
    </xf>
    <xf numFmtId="49" fontId="21" fillId="0" borderId="0" xfId="76" applyNumberFormat="1" applyFont="1" applyBorder="1" applyAlignment="1" applyProtection="1">
      <alignment horizontal="left" vertical="top" wrapText="1"/>
      <protection locked="0"/>
    </xf>
    <xf numFmtId="49" fontId="21" fillId="0" borderId="0" xfId="76" applyNumberFormat="1" applyFont="1" applyBorder="1" applyAlignment="1" applyProtection="1">
      <alignment horizontal="center" vertical="top" wrapText="1"/>
      <protection locked="0"/>
    </xf>
    <xf numFmtId="4" fontId="4" fillId="0" borderId="17" xfId="91" applyNumberFormat="1" applyFont="1" applyFill="1" applyBorder="1" applyAlignment="1" applyProtection="1">
      <alignment vertical="top" shrinkToFit="1"/>
    </xf>
    <xf numFmtId="49" fontId="4" fillId="0" borderId="2" xfId="131" applyNumberFormat="1" applyFont="1" applyProtection="1">
      <alignment horizontal="center" vertical="top" shrinkToFit="1"/>
    </xf>
    <xf numFmtId="0" fontId="38" fillId="0" borderId="0" xfId="37" applyNumberFormat="1" applyFont="1" applyAlignment="1" applyProtection="1">
      <alignment horizontal="left"/>
      <protection locked="0"/>
    </xf>
    <xf numFmtId="0" fontId="39" fillId="0" borderId="20" xfId="24" applyNumberFormat="1" applyFont="1" applyBorder="1" applyAlignment="1" applyProtection="1">
      <alignment horizontal="left" vertical="top" wrapText="1"/>
      <protection locked="0"/>
    </xf>
    <xf numFmtId="0" fontId="39" fillId="0" borderId="0" xfId="24" applyNumberFormat="1" applyFont="1" applyBorder="1" applyAlignment="1" applyProtection="1">
      <alignment horizontal="center" vertical="top" wrapText="1"/>
      <protection locked="0"/>
    </xf>
    <xf numFmtId="0" fontId="38" fillId="0" borderId="0" xfId="0" applyNumberFormat="1" applyFont="1" applyFill="1" applyBorder="1" applyAlignment="1" applyProtection="1">
      <alignment horizontal="center" vertical="top" wrapText="1"/>
    </xf>
    <xf numFmtId="0" fontId="38" fillId="0" borderId="0" xfId="0" applyNumberFormat="1" applyFont="1" applyFill="1" applyBorder="1" applyAlignment="1" applyProtection="1">
      <alignment horizontal="left" vertical="top" wrapText="1"/>
    </xf>
    <xf numFmtId="49" fontId="38" fillId="0" borderId="0" xfId="0" applyNumberFormat="1" applyFont="1" applyFill="1" applyBorder="1" applyAlignment="1" applyProtection="1">
      <alignment horizontal="center" vertical="top"/>
    </xf>
    <xf numFmtId="49" fontId="38" fillId="0" borderId="0" xfId="92" applyNumberFormat="1" applyFont="1" applyBorder="1" applyAlignment="1" applyProtection="1">
      <alignment horizontal="center" vertical="top"/>
      <protection locked="0"/>
    </xf>
    <xf numFmtId="4" fontId="38" fillId="0" borderId="0" xfId="92" applyNumberFormat="1" applyFont="1" applyBorder="1" applyAlignment="1" applyProtection="1">
      <alignment horizontal="center" vertical="top"/>
      <protection locked="0"/>
    </xf>
    <xf numFmtId="0" fontId="40" fillId="0" borderId="0" xfId="0" applyFont="1" applyProtection="1">
      <protection locked="0"/>
    </xf>
    <xf numFmtId="0" fontId="41" fillId="0" borderId="0" xfId="37" applyNumberFormat="1" applyFont="1" applyAlignment="1" applyProtection="1">
      <alignment horizontal="left" vertical="top"/>
      <protection locked="0"/>
    </xf>
    <xf numFmtId="0" fontId="42" fillId="0" borderId="0" xfId="24" applyNumberFormat="1" applyFont="1" applyBorder="1" applyAlignment="1" applyProtection="1">
      <alignment horizontal="center" vertical="top" wrapText="1"/>
      <protection locked="0"/>
    </xf>
    <xf numFmtId="0" fontId="42" fillId="0" borderId="0" xfId="80" applyNumberFormat="1" applyFont="1" applyBorder="1" applyAlignment="1" applyProtection="1">
      <alignment horizontal="center" vertical="top" wrapText="1"/>
      <protection locked="0"/>
    </xf>
    <xf numFmtId="0" fontId="41" fillId="0" borderId="0" xfId="82" applyNumberFormat="1" applyFont="1" applyBorder="1" applyAlignment="1" applyProtection="1">
      <alignment horizontal="center" vertical="top" wrapText="1"/>
      <protection locked="0"/>
    </xf>
    <xf numFmtId="0" fontId="41" fillId="0" borderId="0" xfId="0" applyNumberFormat="1" applyFont="1" applyFill="1" applyBorder="1" applyAlignment="1" applyProtection="1">
      <alignment horizontal="left" vertical="top" wrapText="1"/>
    </xf>
    <xf numFmtId="0" fontId="41" fillId="0" borderId="0" xfId="0" applyNumberFormat="1" applyFont="1" applyFill="1" applyBorder="1" applyAlignment="1" applyProtection="1">
      <alignment horizontal="center" vertical="top" wrapText="1"/>
    </xf>
    <xf numFmtId="49" fontId="41" fillId="0" borderId="0" xfId="0" applyNumberFormat="1" applyFont="1" applyFill="1" applyBorder="1" applyAlignment="1" applyProtection="1">
      <alignment horizontal="center" vertical="top"/>
    </xf>
    <xf numFmtId="49" fontId="41" fillId="0" borderId="0" xfId="92" applyNumberFormat="1" applyFont="1" applyBorder="1" applyAlignment="1" applyProtection="1">
      <alignment horizontal="center" vertical="top"/>
      <protection locked="0"/>
    </xf>
    <xf numFmtId="4" fontId="41" fillId="0" borderId="0" xfId="92" applyNumberFormat="1" applyFont="1" applyBorder="1" applyAlignment="1" applyProtection="1">
      <alignment horizontal="center" vertical="top"/>
      <protection locked="0"/>
    </xf>
    <xf numFmtId="0" fontId="43" fillId="0" borderId="0" xfId="0" applyFont="1" applyProtection="1">
      <protection locked="0"/>
    </xf>
    <xf numFmtId="0" fontId="38" fillId="0" borderId="0" xfId="0" applyNumberFormat="1" applyFont="1" applyFill="1" applyBorder="1" applyAlignment="1" applyProtection="1">
      <alignment horizontal="left"/>
    </xf>
    <xf numFmtId="0" fontId="39" fillId="0" borderId="0" xfId="80" applyNumberFormat="1" applyFont="1" applyBorder="1" applyAlignment="1" applyProtection="1">
      <alignment horizontal="center" vertical="top" wrapText="1"/>
      <protection locked="0"/>
    </xf>
    <xf numFmtId="0" fontId="38" fillId="0" borderId="0" xfId="82" applyNumberFormat="1" applyFont="1" applyBorder="1" applyAlignment="1" applyProtection="1">
      <alignment horizontal="left" vertical="top" wrapText="1"/>
      <protection locked="0"/>
    </xf>
    <xf numFmtId="0" fontId="38" fillId="0" borderId="0" xfId="82" applyNumberFormat="1" applyFont="1" applyBorder="1" applyAlignment="1" applyProtection="1">
      <alignment horizontal="center" vertical="top" wrapText="1"/>
      <protection locked="0"/>
    </xf>
    <xf numFmtId="49" fontId="38" fillId="0" borderId="0" xfId="98" applyNumberFormat="1" applyFont="1" applyBorder="1" applyAlignment="1" applyProtection="1">
      <alignment horizontal="center" vertical="top"/>
      <protection locked="0"/>
    </xf>
    <xf numFmtId="4" fontId="38" fillId="0" borderId="0" xfId="98" applyNumberFormat="1" applyFont="1" applyBorder="1" applyAlignment="1" applyProtection="1">
      <alignment horizontal="center" vertical="top"/>
      <protection locked="0"/>
    </xf>
    <xf numFmtId="4" fontId="38" fillId="0" borderId="0" xfId="92" applyNumberFormat="1" applyFont="1" applyAlignment="1" applyProtection="1">
      <alignment horizontal="center" vertical="top"/>
      <protection locked="0"/>
    </xf>
    <xf numFmtId="4" fontId="40" fillId="0" borderId="0" xfId="0" applyNumberFormat="1" applyFont="1" applyAlignment="1" applyProtection="1">
      <alignment vertical="top"/>
      <protection locked="0"/>
    </xf>
    <xf numFmtId="0" fontId="19" fillId="0" borderId="17" xfId="45" applyNumberFormat="1" applyFont="1" applyBorder="1" applyAlignment="1" applyProtection="1">
      <alignment horizontal="left" vertical="top" wrapText="1"/>
      <protection locked="0"/>
    </xf>
    <xf numFmtId="0" fontId="16" fillId="6" borderId="17" xfId="45" applyNumberFormat="1" applyFont="1" applyFill="1" applyBorder="1" applyAlignment="1" applyProtection="1">
      <alignment horizontal="left" vertical="top" wrapText="1"/>
      <protection locked="0"/>
    </xf>
    <xf numFmtId="0" fontId="16" fillId="7" borderId="17" xfId="45" applyNumberFormat="1" applyFont="1" applyFill="1" applyBorder="1" applyAlignment="1" applyProtection="1">
      <alignment horizontal="left" vertical="top" wrapText="1"/>
      <protection locked="0"/>
    </xf>
    <xf numFmtId="0" fontId="15" fillId="2" borderId="0"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left"/>
    </xf>
    <xf numFmtId="0" fontId="19" fillId="0" borderId="17" xfId="0" applyNumberFormat="1" applyFont="1" applyFill="1" applyBorder="1" applyAlignment="1" applyProtection="1">
      <alignment horizontal="center" vertical="center" wrapText="1"/>
    </xf>
    <xf numFmtId="4" fontId="19" fillId="0" borderId="17" xfId="0" applyNumberFormat="1" applyFont="1" applyFill="1" applyBorder="1" applyAlignment="1" applyProtection="1">
      <alignment horizontal="center" vertical="center"/>
    </xf>
    <xf numFmtId="4" fontId="19" fillId="0" borderId="17" xfId="0" applyNumberFormat="1" applyFont="1" applyFill="1" applyBorder="1" applyAlignment="1" applyProtection="1">
      <alignment horizontal="center" vertical="top"/>
    </xf>
    <xf numFmtId="49" fontId="19" fillId="0" borderId="17" xfId="0" applyNumberFormat="1" applyFont="1" applyFill="1" applyBorder="1" applyAlignment="1" applyProtection="1">
      <alignment horizontal="center" vertical="center" wrapText="1"/>
    </xf>
    <xf numFmtId="49" fontId="19" fillId="2" borderId="17" xfId="0" applyNumberFormat="1" applyFont="1" applyFill="1" applyBorder="1" applyAlignment="1" applyProtection="1">
      <alignment horizontal="center" vertical="top" wrapText="1"/>
    </xf>
    <xf numFmtId="0" fontId="19" fillId="0" borderId="23" xfId="0" applyNumberFormat="1" applyFont="1" applyFill="1" applyBorder="1" applyAlignment="1" applyProtection="1">
      <alignment horizontal="center" vertical="center" wrapText="1"/>
    </xf>
    <xf numFmtId="0" fontId="19" fillId="0" borderId="32" xfId="0" applyNumberFormat="1" applyFont="1" applyFill="1" applyBorder="1" applyAlignment="1" applyProtection="1">
      <alignment horizontal="center" vertical="center" wrapText="1"/>
    </xf>
    <xf numFmtId="0" fontId="19" fillId="0" borderId="33" xfId="0" applyNumberFormat="1" applyFont="1" applyFill="1" applyBorder="1" applyAlignment="1" applyProtection="1">
      <alignment horizontal="center" vertical="center" wrapText="1"/>
    </xf>
    <xf numFmtId="0" fontId="19" fillId="0" borderId="21" xfId="45" applyNumberFormat="1" applyFont="1" applyBorder="1" applyAlignment="1" applyProtection="1">
      <alignment horizontal="left" vertical="top" wrapText="1"/>
      <protection locked="0"/>
    </xf>
    <xf numFmtId="0" fontId="19" fillId="0" borderId="25" xfId="45" applyNumberFormat="1" applyFont="1" applyBorder="1" applyAlignment="1" applyProtection="1">
      <alignment horizontal="left" vertical="top" wrapText="1"/>
      <protection locked="0"/>
    </xf>
    <xf numFmtId="0" fontId="19" fillId="0" borderId="22" xfId="45" applyNumberFormat="1" applyFont="1" applyBorder="1" applyAlignment="1" applyProtection="1">
      <alignment horizontal="left" vertical="top" wrapText="1"/>
      <protection locked="0"/>
    </xf>
    <xf numFmtId="0" fontId="21" fillId="0" borderId="21" xfId="45" applyNumberFormat="1" applyFont="1" applyBorder="1" applyAlignment="1" applyProtection="1">
      <alignment horizontal="left" vertical="top" wrapText="1"/>
      <protection locked="0"/>
    </xf>
    <xf numFmtId="0" fontId="21" fillId="0" borderId="25" xfId="45" applyNumberFormat="1" applyFont="1" applyBorder="1" applyAlignment="1" applyProtection="1">
      <alignment horizontal="left" vertical="top" wrapText="1"/>
      <protection locked="0"/>
    </xf>
    <xf numFmtId="0" fontId="21" fillId="0" borderId="22" xfId="45" applyNumberFormat="1" applyFont="1" applyBorder="1" applyAlignment="1" applyProtection="1">
      <alignment horizontal="left" vertical="top" wrapText="1"/>
      <protection locked="0"/>
    </xf>
    <xf numFmtId="0" fontId="18" fillId="0" borderId="17" xfId="45" applyNumberFormat="1" applyFont="1" applyBorder="1" applyAlignment="1" applyProtection="1">
      <alignment horizontal="left" vertical="top" wrapText="1"/>
      <protection locked="0"/>
    </xf>
    <xf numFmtId="0" fontId="21" fillId="0" borderId="17" xfId="45" applyNumberFormat="1" applyFont="1" applyBorder="1" applyAlignment="1" applyProtection="1">
      <alignment horizontal="left" vertical="top" wrapText="1"/>
      <protection locked="0"/>
    </xf>
    <xf numFmtId="0" fontId="19" fillId="0" borderId="21" xfId="100" applyNumberFormat="1" applyFont="1" applyBorder="1" applyAlignment="1" applyProtection="1">
      <alignment horizontal="left" vertical="top" wrapText="1"/>
    </xf>
    <xf numFmtId="0" fontId="19" fillId="0" borderId="25" xfId="100" applyNumberFormat="1" applyFont="1" applyBorder="1" applyAlignment="1" applyProtection="1">
      <alignment horizontal="left" vertical="top" wrapText="1"/>
    </xf>
    <xf numFmtId="0" fontId="16" fillId="0" borderId="27" xfId="45" applyNumberFormat="1" applyFont="1" applyFill="1" applyBorder="1" applyAlignment="1" applyProtection="1">
      <alignment horizontal="left" vertical="top" wrapText="1"/>
      <protection locked="0"/>
    </xf>
    <xf numFmtId="0" fontId="16" fillId="0" borderId="28" xfId="45" applyNumberFormat="1" applyFont="1" applyFill="1" applyBorder="1" applyAlignment="1" applyProtection="1">
      <alignment horizontal="left" vertical="top" wrapText="1"/>
      <protection locked="0"/>
    </xf>
    <xf numFmtId="0" fontId="16" fillId="0" borderId="29" xfId="45" applyNumberFormat="1" applyFont="1" applyFill="1" applyBorder="1" applyAlignment="1" applyProtection="1">
      <alignment horizontal="left" vertical="top" wrapText="1"/>
      <protection locked="0"/>
    </xf>
    <xf numFmtId="0" fontId="22" fillId="0" borderId="0" xfId="80" applyNumberFormat="1" applyFont="1" applyBorder="1" applyAlignment="1" applyProtection="1">
      <alignment horizontal="left" vertical="top" wrapText="1"/>
      <protection locked="0"/>
    </xf>
    <xf numFmtId="0" fontId="42" fillId="0" borderId="0" xfId="80" applyNumberFormat="1" applyFont="1" applyBorder="1" applyAlignment="1" applyProtection="1">
      <alignment horizontal="left" vertical="top" wrapText="1"/>
      <protection locked="0"/>
    </xf>
    <xf numFmtId="0" fontId="39" fillId="0" borderId="20" xfId="80" applyNumberFormat="1" applyFont="1" applyBorder="1" applyAlignment="1" applyProtection="1">
      <alignment horizontal="left" wrapText="1"/>
      <protection locked="0"/>
    </xf>
    <xf numFmtId="0" fontId="39" fillId="0" borderId="20" xfId="24" applyNumberFormat="1" applyFont="1" applyBorder="1" applyAlignment="1" applyProtection="1">
      <alignment horizontal="left" vertical="top" wrapText="1"/>
      <protection locked="0"/>
    </xf>
    <xf numFmtId="0" fontId="16" fillId="0" borderId="17" xfId="45" applyNumberFormat="1" applyFont="1" applyBorder="1" applyAlignment="1" applyProtection="1">
      <alignment horizontal="left" vertical="top" wrapText="1"/>
      <protection locked="0"/>
    </xf>
    <xf numFmtId="4" fontId="17" fillId="0" borderId="0" xfId="0" applyNumberFormat="1" applyFont="1" applyFill="1" applyBorder="1" applyAlignment="1" applyProtection="1">
      <alignment horizontal="center" vertical="top"/>
    </xf>
    <xf numFmtId="0" fontId="19" fillId="0" borderId="21" xfId="45" applyNumberFormat="1" applyFont="1" applyFill="1" applyBorder="1" applyAlignment="1" applyProtection="1">
      <alignment horizontal="left" vertical="top" wrapText="1"/>
      <protection locked="0"/>
    </xf>
    <xf numFmtId="0" fontId="19" fillId="0" borderId="25" xfId="45" applyNumberFormat="1" applyFont="1" applyFill="1" applyBorder="1" applyAlignment="1" applyProtection="1">
      <alignment horizontal="left" vertical="top" wrapText="1"/>
      <protection locked="0"/>
    </xf>
    <xf numFmtId="0" fontId="19" fillId="0" borderId="22" xfId="45" applyNumberFormat="1" applyFont="1" applyFill="1" applyBorder="1" applyAlignment="1" applyProtection="1">
      <alignment horizontal="left" vertical="top" wrapText="1"/>
      <protection locked="0"/>
    </xf>
    <xf numFmtId="0" fontId="19" fillId="0" borderId="27" xfId="45" applyNumberFormat="1" applyFont="1" applyFill="1" applyBorder="1" applyAlignment="1" applyProtection="1">
      <alignment horizontal="left" vertical="top" wrapText="1"/>
      <protection locked="0"/>
    </xf>
    <xf numFmtId="0" fontId="19" fillId="0" borderId="30" xfId="45" applyNumberFormat="1" applyFont="1" applyFill="1" applyBorder="1" applyAlignment="1" applyProtection="1">
      <alignment horizontal="left" vertical="top" wrapText="1"/>
      <protection locked="0"/>
    </xf>
    <xf numFmtId="0" fontId="19" fillId="0" borderId="31" xfId="45" applyNumberFormat="1" applyFont="1" applyFill="1" applyBorder="1" applyAlignment="1" applyProtection="1">
      <alignment horizontal="left" vertical="top" wrapText="1"/>
      <protection locked="0"/>
    </xf>
    <xf numFmtId="0" fontId="33" fillId="0" borderId="17" xfId="45" applyNumberFormat="1" applyFont="1" applyBorder="1" applyAlignment="1" applyProtection="1">
      <alignment horizontal="left" vertical="top" wrapText="1"/>
      <protection locked="0"/>
    </xf>
  </cellXfs>
  <cellStyles count="150">
    <cellStyle name="br" xfId="1"/>
    <cellStyle name="col" xfId="2"/>
    <cellStyle name="st107" xfId="3"/>
    <cellStyle name="st108" xfId="4"/>
    <cellStyle name="st112" xfId="148"/>
    <cellStyle name="st113" xfId="149"/>
    <cellStyle name="st117" xfId="110"/>
    <cellStyle name="st118" xfId="114"/>
    <cellStyle name="st120" xfId="111"/>
    <cellStyle name="st121" xfId="147"/>
    <cellStyle name="style0" xfId="5"/>
    <cellStyle name="style0 2" xfId="119"/>
    <cellStyle name="td" xfId="6"/>
    <cellStyle name="td 2" xfId="120"/>
    <cellStyle name="tr" xfId="7"/>
    <cellStyle name="xl100" xfId="8"/>
    <cellStyle name="xl101" xfId="9"/>
    <cellStyle name="xl102" xfId="10"/>
    <cellStyle name="xl103" xfId="11"/>
    <cellStyle name="xl104" xfId="12"/>
    <cellStyle name="xl105" xfId="13"/>
    <cellStyle name="xl106" xfId="14"/>
    <cellStyle name="xl107" xfId="15"/>
    <cellStyle name="xl108" xfId="16"/>
    <cellStyle name="xl109" xfId="17"/>
    <cellStyle name="xl110" xfId="18"/>
    <cellStyle name="xl111" xfId="19"/>
    <cellStyle name="xl112" xfId="20"/>
    <cellStyle name="xl113" xfId="21"/>
    <cellStyle name="xl114" xfId="22"/>
    <cellStyle name="xl115" xfId="23"/>
    <cellStyle name="xl116" xfId="24"/>
    <cellStyle name="xl117" xfId="25"/>
    <cellStyle name="xl118" xfId="26"/>
    <cellStyle name="xl119" xfId="27"/>
    <cellStyle name="xl120" xfId="28"/>
    <cellStyle name="xl121" xfId="29"/>
    <cellStyle name="xl122" xfId="30"/>
    <cellStyle name="xl129" xfId="115"/>
    <cellStyle name="xl130" xfId="116"/>
    <cellStyle name="xl21" xfId="31"/>
    <cellStyle name="xl21 2" xfId="121"/>
    <cellStyle name="xl22" xfId="32"/>
    <cellStyle name="xl22 2" xfId="122"/>
    <cellStyle name="xl23" xfId="33"/>
    <cellStyle name="xl23 2" xfId="123"/>
    <cellStyle name="xl24" xfId="34"/>
    <cellStyle name="xl24 2" xfId="124"/>
    <cellStyle name="xl25" xfId="35"/>
    <cellStyle name="xl25 2" xfId="125"/>
    <cellStyle name="xl26" xfId="36"/>
    <cellStyle name="xl26 2" xfId="126"/>
    <cellStyle name="xl27" xfId="37"/>
    <cellStyle name="xl27 2" xfId="127"/>
    <cellStyle name="xl28" xfId="38"/>
    <cellStyle name="xl28 2" xfId="128"/>
    <cellStyle name="xl29" xfId="39"/>
    <cellStyle name="xl29 2" xfId="129"/>
    <cellStyle name="xl30" xfId="40"/>
    <cellStyle name="xl30 2" xfId="130"/>
    <cellStyle name="xl31" xfId="41"/>
    <cellStyle name="xl31 2" xfId="131"/>
    <cellStyle name="xl32" xfId="42"/>
    <cellStyle name="xl32 2" xfId="132"/>
    <cellStyle name="xl33" xfId="43"/>
    <cellStyle name="xl33 2" xfId="133"/>
    <cellStyle name="xl34" xfId="44"/>
    <cellStyle name="xl34 2" xfId="134"/>
    <cellStyle name="xl35" xfId="45"/>
    <cellStyle name="xl35 2" xfId="135"/>
    <cellStyle name="xl36" xfId="46"/>
    <cellStyle name="xl36 2" xfId="136"/>
    <cellStyle name="xl37" xfId="47"/>
    <cellStyle name="xl37 2" xfId="137"/>
    <cellStyle name="xl38" xfId="48"/>
    <cellStyle name="xl38 2" xfId="138"/>
    <cellStyle name="xl39" xfId="49"/>
    <cellStyle name="xl39 2" xfId="139"/>
    <cellStyle name="xl40" xfId="50"/>
    <cellStyle name="xl40 2" xfId="140"/>
    <cellStyle name="xl41" xfId="51"/>
    <cellStyle name="xl41 2" xfId="141"/>
    <cellStyle name="xl42" xfId="52"/>
    <cellStyle name="xl42 2" xfId="142"/>
    <cellStyle name="xl43" xfId="53"/>
    <cellStyle name="xl43 2" xfId="143"/>
    <cellStyle name="xl44" xfId="54"/>
    <cellStyle name="xl44 2" xfId="144"/>
    <cellStyle name="xl45" xfId="55"/>
    <cellStyle name="xl45 2" xfId="145"/>
    <cellStyle name="xl46" xfId="56"/>
    <cellStyle name="xl46 2" xfId="146"/>
    <cellStyle name="xl47" xfId="57"/>
    <cellStyle name="xl48" xfId="58"/>
    <cellStyle name="xl49" xfId="59"/>
    <cellStyle name="xl50" xfId="60"/>
    <cellStyle name="xl51" xfId="61"/>
    <cellStyle name="xl52" xfId="62"/>
    <cellStyle name="xl53" xfId="63"/>
    <cellStyle name="xl54" xfId="64"/>
    <cellStyle name="xl55" xfId="65"/>
    <cellStyle name="xl56" xfId="66"/>
    <cellStyle name="xl57" xfId="67"/>
    <cellStyle name="xl58" xfId="68"/>
    <cellStyle name="xl59" xfId="69"/>
    <cellStyle name="xl60" xfId="70"/>
    <cellStyle name="xl61" xfId="71"/>
    <cellStyle name="xl62" xfId="72"/>
    <cellStyle name="xl63" xfId="73"/>
    <cellStyle name="xl64" xfId="74"/>
    <cellStyle name="xl65" xfId="75"/>
    <cellStyle name="xl66" xfId="76"/>
    <cellStyle name="xl67" xfId="77"/>
    <cellStyle name="xl68" xfId="78"/>
    <cellStyle name="xl69" xfId="79"/>
    <cellStyle name="xl70" xfId="80"/>
    <cellStyle name="xl71" xfId="81"/>
    <cellStyle name="xl72" xfId="82"/>
    <cellStyle name="xl73" xfId="83"/>
    <cellStyle name="xl74" xfId="84"/>
    <cellStyle name="xl75" xfId="85"/>
    <cellStyle name="xl76" xfId="86"/>
    <cellStyle name="xl77" xfId="87"/>
    <cellStyle name="xl78" xfId="88"/>
    <cellStyle name="xl79" xfId="89"/>
    <cellStyle name="xl80" xfId="90"/>
    <cellStyle name="xl81" xfId="91"/>
    <cellStyle name="xl82" xfId="92"/>
    <cellStyle name="xl83" xfId="93"/>
    <cellStyle name="xl84" xfId="94"/>
    <cellStyle name="xl85" xfId="95"/>
    <cellStyle name="xl86" xfId="96"/>
    <cellStyle name="xl87" xfId="97"/>
    <cellStyle name="xl88" xfId="98"/>
    <cellStyle name="xl89" xfId="99"/>
    <cellStyle name="xl90" xfId="100"/>
    <cellStyle name="xl91" xfId="101"/>
    <cellStyle name="xl92" xfId="102"/>
    <cellStyle name="xl93" xfId="103"/>
    <cellStyle name="xl94" xfId="104"/>
    <cellStyle name="xl95" xfId="105"/>
    <cellStyle name="xl96" xfId="106"/>
    <cellStyle name="xl97" xfId="107"/>
    <cellStyle name="xl98" xfId="108"/>
    <cellStyle name="xl99" xfId="109"/>
    <cellStyle name="Обычный" xfId="0" builtinId="0"/>
    <cellStyle name="Обычный 2" xfId="112"/>
    <cellStyle name="Обычный 2 2" xfId="118"/>
    <cellStyle name="Обычный 3" xfId="113"/>
    <cellStyle name="Обычный 4" xfId="117"/>
  </cellStyles>
  <dxfs count="0"/>
  <tableStyles count="0"/>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14"/>
  <sheetViews>
    <sheetView tabSelected="1" zoomScale="130" workbookViewId="0">
      <pane xSplit="1" ySplit="8" topLeftCell="B9" activePane="bottomRight" state="frozen"/>
      <selection pane="topRight" activeCell="B1" sqref="B1"/>
      <selection pane="bottomLeft" activeCell="A9" sqref="A9"/>
      <selection pane="bottomRight" activeCell="A7" sqref="A7:N7"/>
    </sheetView>
  </sheetViews>
  <sheetFormatPr defaultRowHeight="15" x14ac:dyDescent="0.25"/>
  <cols>
    <col min="1" max="1" width="22.7109375" style="221" customWidth="1"/>
    <col min="2" max="2" width="23.42578125" style="159" customWidth="1"/>
    <col min="3" max="3" width="7.28515625" style="23" customWidth="1"/>
    <col min="4" max="4" width="8" style="23" customWidth="1"/>
    <col min="5" max="5" width="23.140625" style="159" customWidth="1"/>
    <col min="6" max="6" width="10.28515625" style="23" customWidth="1"/>
    <col min="7" max="7" width="9.140625" style="23" customWidth="1"/>
    <col min="8" max="8" width="23.7109375" style="161" customWidth="1"/>
    <col min="9" max="9" width="9.140625" style="24" customWidth="1"/>
    <col min="10" max="10" width="7.5703125" style="24" customWidth="1"/>
    <col min="11" max="11" width="5.140625" style="68" customWidth="1"/>
    <col min="12" max="12" width="3.5703125" style="68" customWidth="1"/>
    <col min="13" max="13" width="13.42578125" style="68" customWidth="1"/>
    <col min="14" max="14" width="5.140625" style="229" customWidth="1"/>
    <col min="15" max="20" width="10.5703125" style="62" customWidth="1"/>
    <col min="21" max="16384" width="9.140625" style="1"/>
  </cols>
  <sheetData>
    <row r="1" spans="1:20" x14ac:dyDescent="0.25">
      <c r="A1" s="269" t="s">
        <v>52</v>
      </c>
      <c r="B1" s="269"/>
      <c r="C1" s="269"/>
      <c r="D1" s="269"/>
      <c r="E1" s="269"/>
      <c r="F1" s="269"/>
      <c r="G1" s="269"/>
      <c r="H1" s="269"/>
      <c r="I1" s="269"/>
      <c r="J1" s="269"/>
      <c r="K1" s="269"/>
      <c r="L1" s="269"/>
      <c r="M1" s="269"/>
      <c r="N1" s="269"/>
      <c r="O1" s="269"/>
      <c r="P1" s="269"/>
      <c r="Q1" s="269"/>
      <c r="R1" s="269"/>
      <c r="S1" s="269"/>
      <c r="T1" s="80"/>
    </row>
    <row r="2" spans="1:20" x14ac:dyDescent="0.25">
      <c r="A2" s="270" t="s">
        <v>44</v>
      </c>
      <c r="B2" s="270"/>
      <c r="C2" s="270"/>
      <c r="D2" s="270"/>
      <c r="E2" s="270"/>
      <c r="F2" s="270"/>
      <c r="G2" s="270"/>
      <c r="H2" s="133"/>
      <c r="I2" s="21"/>
      <c r="J2" s="21"/>
      <c r="K2" s="31"/>
      <c r="L2" s="32"/>
      <c r="M2" s="32"/>
      <c r="N2" s="223"/>
      <c r="O2" s="33"/>
      <c r="P2" s="33"/>
      <c r="Q2" s="33"/>
      <c r="R2" s="33"/>
      <c r="S2" s="33"/>
      <c r="T2" s="33"/>
    </row>
    <row r="3" spans="1:20" s="69" customFormat="1" ht="8.25" x14ac:dyDescent="0.15">
      <c r="A3" s="271" t="s">
        <v>46</v>
      </c>
      <c r="B3" s="276" t="s">
        <v>711</v>
      </c>
      <c r="C3" s="277"/>
      <c r="D3" s="277"/>
      <c r="E3" s="277"/>
      <c r="F3" s="277"/>
      <c r="G3" s="277"/>
      <c r="H3" s="277"/>
      <c r="I3" s="277"/>
      <c r="J3" s="278"/>
      <c r="K3" s="275" t="s">
        <v>0</v>
      </c>
      <c r="L3" s="275"/>
      <c r="M3" s="275"/>
      <c r="N3" s="275"/>
      <c r="O3" s="273" t="s">
        <v>1</v>
      </c>
      <c r="P3" s="273"/>
      <c r="Q3" s="273"/>
      <c r="R3" s="273"/>
      <c r="S3" s="273"/>
      <c r="T3" s="273"/>
    </row>
    <row r="4" spans="1:20" s="69" customFormat="1" ht="8.25" x14ac:dyDescent="0.15">
      <c r="A4" s="271"/>
      <c r="B4" s="274" t="s">
        <v>2</v>
      </c>
      <c r="C4" s="274"/>
      <c r="D4" s="274"/>
      <c r="E4" s="274" t="s">
        <v>3</v>
      </c>
      <c r="F4" s="274"/>
      <c r="G4" s="274"/>
      <c r="H4" s="274" t="s">
        <v>41</v>
      </c>
      <c r="I4" s="274"/>
      <c r="J4" s="274"/>
      <c r="K4" s="275"/>
      <c r="L4" s="275"/>
      <c r="M4" s="275"/>
      <c r="N4" s="275"/>
      <c r="O4" s="272" t="s">
        <v>361</v>
      </c>
      <c r="P4" s="272"/>
      <c r="Q4" s="81" t="s">
        <v>4</v>
      </c>
      <c r="R4" s="81" t="s">
        <v>5</v>
      </c>
      <c r="S4" s="272" t="s">
        <v>6</v>
      </c>
      <c r="T4" s="272"/>
    </row>
    <row r="5" spans="1:20" s="70" customFormat="1" ht="41.25" x14ac:dyDescent="0.25">
      <c r="A5" s="271"/>
      <c r="B5" s="94" t="s">
        <v>45</v>
      </c>
      <c r="C5" s="94" t="s">
        <v>42</v>
      </c>
      <c r="D5" s="94" t="s">
        <v>43</v>
      </c>
      <c r="E5" s="94" t="s">
        <v>45</v>
      </c>
      <c r="F5" s="94" t="s">
        <v>42</v>
      </c>
      <c r="G5" s="94" t="s">
        <v>43</v>
      </c>
      <c r="H5" s="94" t="s">
        <v>45</v>
      </c>
      <c r="I5" s="94" t="s">
        <v>42</v>
      </c>
      <c r="J5" s="94" t="s">
        <v>43</v>
      </c>
      <c r="K5" s="109" t="s">
        <v>7</v>
      </c>
      <c r="L5" s="109" t="s">
        <v>297</v>
      </c>
      <c r="M5" s="109" t="s">
        <v>40</v>
      </c>
      <c r="N5" s="109" t="s">
        <v>47</v>
      </c>
      <c r="O5" s="82" t="s">
        <v>8</v>
      </c>
      <c r="P5" s="82" t="s">
        <v>358</v>
      </c>
      <c r="Q5" s="114" t="s">
        <v>362</v>
      </c>
      <c r="R5" s="83" t="s">
        <v>58</v>
      </c>
      <c r="S5" s="89" t="s">
        <v>59</v>
      </c>
      <c r="T5" s="89" t="s">
        <v>363</v>
      </c>
    </row>
    <row r="6" spans="1:20" s="71" customFormat="1" ht="8.25" x14ac:dyDescent="0.25">
      <c r="A6" s="110">
        <v>1</v>
      </c>
      <c r="B6" s="95">
        <v>3</v>
      </c>
      <c r="C6" s="95">
        <v>4</v>
      </c>
      <c r="D6" s="95">
        <v>5</v>
      </c>
      <c r="E6" s="95">
        <v>6</v>
      </c>
      <c r="F6" s="95">
        <v>7</v>
      </c>
      <c r="G6" s="95">
        <v>8</v>
      </c>
      <c r="H6" s="95">
        <v>9</v>
      </c>
      <c r="I6" s="95">
        <v>10</v>
      </c>
      <c r="J6" s="95">
        <v>11</v>
      </c>
      <c r="K6" s="111" t="s">
        <v>18</v>
      </c>
      <c r="L6" s="112">
        <v>13</v>
      </c>
      <c r="M6" s="112">
        <v>14</v>
      </c>
      <c r="N6" s="112">
        <v>15</v>
      </c>
      <c r="O6" s="113">
        <v>16</v>
      </c>
      <c r="P6" s="113">
        <v>17</v>
      </c>
      <c r="Q6" s="113">
        <v>18</v>
      </c>
      <c r="R6" s="113">
        <v>19</v>
      </c>
      <c r="S6" s="113">
        <v>20</v>
      </c>
      <c r="T6" s="113">
        <v>21</v>
      </c>
    </row>
    <row r="7" spans="1:20" s="72" customFormat="1" ht="14.25" x14ac:dyDescent="0.2">
      <c r="A7" s="267" t="s">
        <v>11</v>
      </c>
      <c r="B7" s="267"/>
      <c r="C7" s="267"/>
      <c r="D7" s="267"/>
      <c r="E7" s="267"/>
      <c r="F7" s="267"/>
      <c r="G7" s="267"/>
      <c r="H7" s="267"/>
      <c r="I7" s="267"/>
      <c r="J7" s="267"/>
      <c r="K7" s="267"/>
      <c r="L7" s="267"/>
      <c r="M7" s="267"/>
      <c r="N7" s="267"/>
      <c r="O7" s="73">
        <f t="shared" ref="O7:T7" si="0">O8+O245+O314+O335</f>
        <v>2624910979.6100001</v>
      </c>
      <c r="P7" s="73">
        <f t="shared" si="0"/>
        <v>2509308888.0100002</v>
      </c>
      <c r="Q7" s="73">
        <f>Q8+Q245+Q314+Q335</f>
        <v>2629920919.6199999</v>
      </c>
      <c r="R7" s="73">
        <f t="shared" si="0"/>
        <v>2657880059.8699999</v>
      </c>
      <c r="S7" s="73">
        <f t="shared" si="0"/>
        <v>2406316558.5700002</v>
      </c>
      <c r="T7" s="73">
        <f t="shared" si="0"/>
        <v>2466655417.9700003</v>
      </c>
    </row>
    <row r="8" spans="1:20" s="72" customFormat="1" ht="14.25" x14ac:dyDescent="0.2">
      <c r="A8" s="268" t="s">
        <v>12</v>
      </c>
      <c r="B8" s="268"/>
      <c r="C8" s="268"/>
      <c r="D8" s="268"/>
      <c r="E8" s="268"/>
      <c r="F8" s="268"/>
      <c r="G8" s="268"/>
      <c r="H8" s="268"/>
      <c r="I8" s="268"/>
      <c r="J8" s="268"/>
      <c r="K8" s="268"/>
      <c r="L8" s="268"/>
      <c r="M8" s="268"/>
      <c r="N8" s="268"/>
      <c r="O8" s="74">
        <f>O9+O35+O58+O69+O79+O140+O149+O176+O182+O185+O191+O194+O232+O238+O242+O223+O217+O76</f>
        <v>1481508015.02</v>
      </c>
      <c r="P8" s="74">
        <f t="shared" ref="P8:T8" si="1">P9+P35+P58+P69+P79+P140+P149+P176+P182+P185+P191+P194+P232+P238+P242+P223+P217+P76</f>
        <v>1386403649.1400003</v>
      </c>
      <c r="Q8" s="74">
        <f t="shared" si="1"/>
        <v>1512345963.5699999</v>
      </c>
      <c r="R8" s="74">
        <f t="shared" si="1"/>
        <v>1507819518.45</v>
      </c>
      <c r="S8" s="74">
        <f t="shared" si="1"/>
        <v>1215646185.75</v>
      </c>
      <c r="T8" s="74">
        <f t="shared" si="1"/>
        <v>1223019171.75</v>
      </c>
    </row>
    <row r="9" spans="1:20" ht="49.5" x14ac:dyDescent="0.25">
      <c r="A9" s="266" t="s">
        <v>13</v>
      </c>
      <c r="B9" s="134" t="s">
        <v>372</v>
      </c>
      <c r="C9" s="170" t="s">
        <v>378</v>
      </c>
      <c r="D9" s="170" t="s">
        <v>374</v>
      </c>
      <c r="E9" s="135" t="s">
        <v>385</v>
      </c>
      <c r="F9" s="170" t="s">
        <v>386</v>
      </c>
      <c r="G9" s="170" t="s">
        <v>387</v>
      </c>
      <c r="H9" s="136" t="s">
        <v>243</v>
      </c>
      <c r="I9" s="3" t="s">
        <v>248</v>
      </c>
      <c r="J9" s="3" t="s">
        <v>244</v>
      </c>
      <c r="K9" s="8"/>
      <c r="L9" s="8"/>
      <c r="M9" s="8"/>
      <c r="N9" s="96"/>
      <c r="O9" s="86">
        <f>SUM(O10:O34)</f>
        <v>19488254.270000003</v>
      </c>
      <c r="P9" s="86">
        <f t="shared" ref="P9:T9" si="2">SUM(P10:P34)</f>
        <v>15830488.700000001</v>
      </c>
      <c r="Q9" s="86">
        <f t="shared" si="2"/>
        <v>59007909.109999999</v>
      </c>
      <c r="R9" s="86">
        <f t="shared" si="2"/>
        <v>23350928.780000001</v>
      </c>
      <c r="S9" s="86">
        <f t="shared" si="2"/>
        <v>20548155.829999998</v>
      </c>
      <c r="T9" s="86">
        <f t="shared" si="2"/>
        <v>21848155.829999998</v>
      </c>
    </row>
    <row r="10" spans="1:20" ht="82.5" x14ac:dyDescent="0.25">
      <c r="A10" s="266"/>
      <c r="B10" s="137" t="s">
        <v>379</v>
      </c>
      <c r="C10" s="171" t="s">
        <v>380</v>
      </c>
      <c r="D10" s="171" t="s">
        <v>381</v>
      </c>
      <c r="E10" s="139" t="s">
        <v>388</v>
      </c>
      <c r="F10" s="171" t="s">
        <v>380</v>
      </c>
      <c r="G10" s="171" t="s">
        <v>389</v>
      </c>
      <c r="H10" s="136" t="s">
        <v>53</v>
      </c>
      <c r="I10" s="3"/>
      <c r="J10" s="3" t="s">
        <v>313</v>
      </c>
      <c r="K10" s="8" t="s">
        <v>54</v>
      </c>
      <c r="L10" s="8" t="s">
        <v>55</v>
      </c>
      <c r="M10" s="8" t="s">
        <v>56</v>
      </c>
      <c r="N10" s="96" t="s">
        <v>57</v>
      </c>
      <c r="O10" s="7">
        <v>10894413.15</v>
      </c>
      <c r="P10" s="7">
        <v>10821914.85</v>
      </c>
      <c r="Q10" s="7">
        <v>10165567.27</v>
      </c>
      <c r="R10" s="7">
        <v>11360883.529999999</v>
      </c>
      <c r="S10" s="7">
        <v>11360883.529999999</v>
      </c>
      <c r="T10" s="87">
        <v>11360883.529999999</v>
      </c>
    </row>
    <row r="11" spans="1:20" ht="41.25" x14ac:dyDescent="0.25">
      <c r="A11" s="266"/>
      <c r="B11" s="137" t="s">
        <v>382</v>
      </c>
      <c r="C11" s="171" t="s">
        <v>383</v>
      </c>
      <c r="D11" s="171" t="s">
        <v>384</v>
      </c>
      <c r="E11" s="139"/>
      <c r="F11" s="171"/>
      <c r="G11" s="171"/>
      <c r="H11" s="136" t="s">
        <v>69</v>
      </c>
      <c r="I11" s="3" t="s">
        <v>255</v>
      </c>
      <c r="J11" s="25" t="s">
        <v>250</v>
      </c>
      <c r="K11" s="8" t="s">
        <v>54</v>
      </c>
      <c r="L11" s="8" t="s">
        <v>55</v>
      </c>
      <c r="M11" s="8" t="s">
        <v>360</v>
      </c>
      <c r="N11" s="96" t="s">
        <v>57</v>
      </c>
      <c r="O11" s="7">
        <v>195000</v>
      </c>
      <c r="P11" s="7">
        <v>179003</v>
      </c>
      <c r="Q11" s="7">
        <v>243000</v>
      </c>
      <c r="R11" s="7">
        <v>293000</v>
      </c>
      <c r="S11" s="7">
        <v>293000</v>
      </c>
      <c r="T11" s="7">
        <v>293000</v>
      </c>
    </row>
    <row r="12" spans="1:20" ht="41.25" x14ac:dyDescent="0.25">
      <c r="A12" s="266"/>
      <c r="B12" s="137"/>
      <c r="C12" s="171"/>
      <c r="D12" s="171"/>
      <c r="E12" s="139"/>
      <c r="F12" s="171"/>
      <c r="G12" s="171"/>
      <c r="H12" s="136" t="s">
        <v>70</v>
      </c>
      <c r="I12" s="3"/>
      <c r="J12" s="3" t="s">
        <v>315</v>
      </c>
      <c r="K12" s="8" t="s">
        <v>54</v>
      </c>
      <c r="L12" s="8" t="s">
        <v>55</v>
      </c>
      <c r="M12" s="8" t="s">
        <v>360</v>
      </c>
      <c r="N12" s="96" t="s">
        <v>62</v>
      </c>
      <c r="O12" s="7">
        <v>138042.10999999999</v>
      </c>
      <c r="P12" s="7">
        <v>134820</v>
      </c>
      <c r="Q12" s="7">
        <v>130000</v>
      </c>
      <c r="R12" s="7">
        <v>180000</v>
      </c>
      <c r="S12" s="7">
        <v>180000</v>
      </c>
      <c r="T12" s="7">
        <v>180000</v>
      </c>
    </row>
    <row r="13" spans="1:20" ht="66" x14ac:dyDescent="0.25">
      <c r="A13" s="266"/>
      <c r="B13" s="137"/>
      <c r="C13" s="171"/>
      <c r="D13" s="171"/>
      <c r="E13" s="139"/>
      <c r="F13" s="171"/>
      <c r="G13" s="171"/>
      <c r="H13" s="15" t="s">
        <v>245</v>
      </c>
      <c r="I13" s="16"/>
      <c r="J13" s="17" t="s">
        <v>319</v>
      </c>
      <c r="K13" s="28" t="s">
        <v>54</v>
      </c>
      <c r="L13" s="12" t="s">
        <v>55</v>
      </c>
      <c r="M13" s="12" t="s">
        <v>66</v>
      </c>
      <c r="N13" s="12" t="s">
        <v>57</v>
      </c>
      <c r="O13" s="7">
        <v>145621.66</v>
      </c>
      <c r="P13" s="7">
        <v>145621.66</v>
      </c>
      <c r="Q13" s="7">
        <v>250000</v>
      </c>
      <c r="R13" s="7">
        <v>250000</v>
      </c>
      <c r="S13" s="7">
        <v>225000</v>
      </c>
      <c r="T13" s="87">
        <v>250000</v>
      </c>
    </row>
    <row r="14" spans="1:20" ht="33" x14ac:dyDescent="0.25">
      <c r="A14" s="266"/>
      <c r="B14" s="190"/>
      <c r="C14" s="190"/>
      <c r="D14" s="190"/>
      <c r="E14" s="140"/>
      <c r="F14" s="4"/>
      <c r="G14" s="4"/>
      <c r="H14" s="143" t="s">
        <v>152</v>
      </c>
      <c r="I14" s="3"/>
      <c r="J14" s="3" t="s">
        <v>299</v>
      </c>
      <c r="K14" s="8" t="s">
        <v>54</v>
      </c>
      <c r="L14" s="8" t="s">
        <v>122</v>
      </c>
      <c r="M14" s="8" t="s">
        <v>208</v>
      </c>
      <c r="N14" s="96" t="s">
        <v>57</v>
      </c>
      <c r="O14" s="7">
        <v>1376923</v>
      </c>
      <c r="P14" s="7">
        <v>1376309.61</v>
      </c>
      <c r="Q14" s="7">
        <v>1380666</v>
      </c>
      <c r="R14" s="7">
        <f>1377333.68+51395.32</f>
        <v>1428729</v>
      </c>
      <c r="S14" s="7">
        <v>1428729</v>
      </c>
      <c r="T14" s="87">
        <v>1428729</v>
      </c>
    </row>
    <row r="15" spans="1:20" ht="66" x14ac:dyDescent="0.25">
      <c r="A15" s="266"/>
      <c r="B15" s="141"/>
      <c r="C15" s="5"/>
      <c r="D15" s="5"/>
      <c r="E15" s="140"/>
      <c r="F15" s="4"/>
      <c r="G15" s="4"/>
      <c r="H15" s="15" t="s">
        <v>251</v>
      </c>
      <c r="I15" s="3" t="s">
        <v>49</v>
      </c>
      <c r="J15" s="3" t="s">
        <v>252</v>
      </c>
      <c r="K15" s="8" t="s">
        <v>54</v>
      </c>
      <c r="L15" s="8" t="s">
        <v>122</v>
      </c>
      <c r="M15" s="8" t="s">
        <v>209</v>
      </c>
      <c r="N15" s="96" t="s">
        <v>57</v>
      </c>
      <c r="O15" s="7">
        <v>1173245</v>
      </c>
      <c r="P15" s="7">
        <v>1172619.3400000001</v>
      </c>
      <c r="Q15" s="7">
        <v>1122616</v>
      </c>
      <c r="R15" s="7">
        <f>1164021.32-10478.02</f>
        <v>1153543.3</v>
      </c>
      <c r="S15" s="7">
        <v>1153543.3</v>
      </c>
      <c r="T15" s="87">
        <v>1153543.3</v>
      </c>
    </row>
    <row r="16" spans="1:20" ht="49.5" x14ac:dyDescent="0.25">
      <c r="A16" s="266"/>
      <c r="B16" s="141"/>
      <c r="C16" s="5"/>
      <c r="D16" s="5"/>
      <c r="E16" s="140"/>
      <c r="F16" s="4"/>
      <c r="G16" s="4"/>
      <c r="H16" s="136" t="s">
        <v>264</v>
      </c>
      <c r="I16" s="3" t="s">
        <v>140</v>
      </c>
      <c r="J16" s="3" t="s">
        <v>298</v>
      </c>
      <c r="K16" s="8" t="s">
        <v>54</v>
      </c>
      <c r="L16" s="8" t="s">
        <v>122</v>
      </c>
      <c r="M16" s="8" t="s">
        <v>210</v>
      </c>
      <c r="N16" s="96" t="s">
        <v>62</v>
      </c>
      <c r="O16" s="7">
        <v>25000</v>
      </c>
      <c r="P16" s="7">
        <v>24896.240000000002</v>
      </c>
      <c r="Q16" s="7">
        <v>15000</v>
      </c>
      <c r="R16" s="7">
        <v>15000</v>
      </c>
      <c r="S16" s="7">
        <v>15000</v>
      </c>
      <c r="T16" s="87">
        <v>15000</v>
      </c>
    </row>
    <row r="17" spans="1:20" ht="59.25" x14ac:dyDescent="0.25">
      <c r="A17" s="266"/>
      <c r="B17" s="141"/>
      <c r="C17" s="5"/>
      <c r="D17" s="5"/>
      <c r="E17" s="140"/>
      <c r="F17" s="4"/>
      <c r="G17" s="4"/>
      <c r="H17" s="201" t="s">
        <v>600</v>
      </c>
      <c r="I17" s="190"/>
      <c r="J17" s="3" t="s">
        <v>601</v>
      </c>
      <c r="K17" s="8" t="s">
        <v>54</v>
      </c>
      <c r="L17" s="8" t="s">
        <v>122</v>
      </c>
      <c r="M17" s="8" t="s">
        <v>210</v>
      </c>
      <c r="N17" s="96" t="s">
        <v>68</v>
      </c>
      <c r="O17" s="7">
        <v>3386.7</v>
      </c>
      <c r="P17" s="7">
        <v>0</v>
      </c>
      <c r="Q17" s="7">
        <v>14900</v>
      </c>
      <c r="R17" s="7">
        <v>14900</v>
      </c>
      <c r="S17" s="7">
        <v>14900</v>
      </c>
      <c r="T17" s="87">
        <v>14900</v>
      </c>
    </row>
    <row r="18" spans="1:20" x14ac:dyDescent="0.25">
      <c r="A18" s="266"/>
      <c r="B18" s="141"/>
      <c r="C18" s="5"/>
      <c r="D18" s="5"/>
      <c r="E18" s="140"/>
      <c r="F18" s="4"/>
      <c r="G18" s="4"/>
      <c r="H18" s="190"/>
      <c r="I18" s="190"/>
      <c r="J18" s="190"/>
      <c r="K18" s="8" t="s">
        <v>54</v>
      </c>
      <c r="L18" s="8" t="s">
        <v>122</v>
      </c>
      <c r="M18" s="8" t="s">
        <v>211</v>
      </c>
      <c r="N18" s="96" t="s">
        <v>57</v>
      </c>
      <c r="O18" s="7">
        <v>42700.3</v>
      </c>
      <c r="P18" s="7">
        <v>42700.3</v>
      </c>
      <c r="Q18" s="7">
        <v>50000</v>
      </c>
      <c r="R18" s="7">
        <v>50000</v>
      </c>
      <c r="S18" s="7">
        <v>50000</v>
      </c>
      <c r="T18" s="87">
        <v>50000</v>
      </c>
    </row>
    <row r="19" spans="1:20" x14ac:dyDescent="0.25">
      <c r="A19" s="266"/>
      <c r="B19" s="141"/>
      <c r="C19" s="5"/>
      <c r="D19" s="5"/>
      <c r="E19" s="140"/>
      <c r="F19" s="4"/>
      <c r="G19" s="4"/>
      <c r="H19" s="190"/>
      <c r="I19" s="190"/>
      <c r="J19" s="190"/>
      <c r="K19" s="8" t="s">
        <v>54</v>
      </c>
      <c r="L19" s="8" t="s">
        <v>122</v>
      </c>
      <c r="M19" s="8" t="s">
        <v>548</v>
      </c>
      <c r="N19" s="96" t="s">
        <v>57</v>
      </c>
      <c r="O19" s="7">
        <v>0</v>
      </c>
      <c r="P19" s="7">
        <v>0</v>
      </c>
      <c r="Q19" s="7">
        <v>197300</v>
      </c>
      <c r="R19" s="7">
        <v>35000</v>
      </c>
      <c r="S19" s="7">
        <v>35000</v>
      </c>
      <c r="T19" s="87">
        <v>35000</v>
      </c>
    </row>
    <row r="20" spans="1:20" x14ac:dyDescent="0.25">
      <c r="A20" s="266"/>
      <c r="B20" s="141"/>
      <c r="C20" s="5"/>
      <c r="D20" s="5"/>
      <c r="E20" s="140"/>
      <c r="F20" s="4"/>
      <c r="G20" s="4"/>
      <c r="H20" s="190"/>
      <c r="I20" s="190"/>
      <c r="J20" s="190"/>
      <c r="K20" s="8" t="s">
        <v>54</v>
      </c>
      <c r="L20" s="8" t="s">
        <v>122</v>
      </c>
      <c r="M20" s="8" t="s">
        <v>548</v>
      </c>
      <c r="N20" s="96" t="s">
        <v>62</v>
      </c>
      <c r="O20" s="7">
        <v>0</v>
      </c>
      <c r="P20" s="7">
        <v>0</v>
      </c>
      <c r="Q20" s="7">
        <v>52700</v>
      </c>
      <c r="R20" s="7">
        <v>15000</v>
      </c>
      <c r="S20" s="7">
        <v>15000</v>
      </c>
      <c r="T20" s="87">
        <v>15000</v>
      </c>
    </row>
    <row r="21" spans="1:20" x14ac:dyDescent="0.25">
      <c r="A21" s="266"/>
      <c r="B21" s="141"/>
      <c r="C21" s="5"/>
      <c r="D21" s="5"/>
      <c r="E21" s="140"/>
      <c r="F21" s="4"/>
      <c r="G21" s="4"/>
      <c r="H21" s="190"/>
      <c r="I21" s="190"/>
      <c r="J21" s="190"/>
      <c r="K21" s="8" t="s">
        <v>54</v>
      </c>
      <c r="L21" s="8" t="s">
        <v>122</v>
      </c>
      <c r="M21" s="8" t="s">
        <v>360</v>
      </c>
      <c r="N21" s="96" t="s">
        <v>57</v>
      </c>
      <c r="O21" s="7">
        <f>14903+149410</f>
        <v>164313</v>
      </c>
      <c r="P21" s="7">
        <f>14903+148026</f>
        <v>162929</v>
      </c>
      <c r="Q21" s="7">
        <v>149000</v>
      </c>
      <c r="R21" s="7">
        <v>35000</v>
      </c>
      <c r="S21" s="7">
        <v>35000</v>
      </c>
      <c r="T21" s="7">
        <v>35000</v>
      </c>
    </row>
    <row r="22" spans="1:20" x14ac:dyDescent="0.25">
      <c r="A22" s="266"/>
      <c r="B22" s="141"/>
      <c r="C22" s="5"/>
      <c r="D22" s="5"/>
      <c r="E22" s="140"/>
      <c r="F22" s="4"/>
      <c r="G22" s="4"/>
      <c r="H22" s="190"/>
      <c r="I22" s="190"/>
      <c r="J22" s="190"/>
      <c r="K22" s="8" t="s">
        <v>54</v>
      </c>
      <c r="L22" s="8" t="s">
        <v>122</v>
      </c>
      <c r="M22" s="8" t="s">
        <v>360</v>
      </c>
      <c r="N22" s="96" t="s">
        <v>62</v>
      </c>
      <c r="O22" s="7">
        <f>81937+89750</f>
        <v>171687</v>
      </c>
      <c r="P22" s="7">
        <f>81937+89750</f>
        <v>171687</v>
      </c>
      <c r="Q22" s="7">
        <v>73000</v>
      </c>
      <c r="R22" s="7">
        <v>15000</v>
      </c>
      <c r="S22" s="7">
        <v>15000</v>
      </c>
      <c r="T22" s="7">
        <v>15000</v>
      </c>
    </row>
    <row r="23" spans="1:20" x14ac:dyDescent="0.25">
      <c r="A23" s="266"/>
      <c r="B23" s="140"/>
      <c r="C23" s="4"/>
      <c r="D23" s="4"/>
      <c r="E23" s="140"/>
      <c r="F23" s="4"/>
      <c r="G23" s="4"/>
      <c r="H23" s="190"/>
      <c r="I23" s="190"/>
      <c r="J23" s="190"/>
      <c r="K23" s="8" t="s">
        <v>54</v>
      </c>
      <c r="L23" s="8" t="s">
        <v>55</v>
      </c>
      <c r="M23" s="8" t="s">
        <v>72</v>
      </c>
      <c r="N23" s="96" t="s">
        <v>57</v>
      </c>
      <c r="O23" s="7">
        <v>107740.8</v>
      </c>
      <c r="P23" s="7">
        <v>107740.8</v>
      </c>
      <c r="Q23" s="7">
        <v>0</v>
      </c>
      <c r="R23" s="7">
        <v>0</v>
      </c>
      <c r="S23" s="7">
        <v>0</v>
      </c>
      <c r="T23" s="87">
        <v>0</v>
      </c>
    </row>
    <row r="24" spans="1:20" x14ac:dyDescent="0.25">
      <c r="A24" s="266"/>
      <c r="B24" s="140"/>
      <c r="C24" s="4"/>
      <c r="D24" s="4"/>
      <c r="E24" s="140"/>
      <c r="F24" s="4"/>
      <c r="G24" s="4"/>
      <c r="H24" s="142"/>
      <c r="I24" s="22"/>
      <c r="J24" s="22"/>
      <c r="K24" s="8" t="s">
        <v>54</v>
      </c>
      <c r="L24" s="8" t="s">
        <v>60</v>
      </c>
      <c r="M24" s="8" t="s">
        <v>75</v>
      </c>
      <c r="N24" s="96" t="s">
        <v>68</v>
      </c>
      <c r="O24" s="7">
        <v>327797.55</v>
      </c>
      <c r="P24" s="7">
        <v>0</v>
      </c>
      <c r="Q24" s="7">
        <v>416286.45</v>
      </c>
      <c r="R24" s="7">
        <v>400000</v>
      </c>
      <c r="S24" s="7">
        <v>400000</v>
      </c>
      <c r="T24" s="87">
        <v>400000</v>
      </c>
    </row>
    <row r="25" spans="1:20" x14ac:dyDescent="0.25">
      <c r="A25" s="266"/>
      <c r="B25" s="140"/>
      <c r="C25" s="4"/>
      <c r="D25" s="4"/>
      <c r="E25" s="140"/>
      <c r="F25" s="4"/>
      <c r="G25" s="4"/>
      <c r="H25" s="142"/>
      <c r="I25" s="22"/>
      <c r="J25" s="22"/>
      <c r="K25" s="28" t="s">
        <v>54</v>
      </c>
      <c r="L25" s="12" t="s">
        <v>60</v>
      </c>
      <c r="M25" s="12" t="s">
        <v>61</v>
      </c>
      <c r="N25" s="12" t="s">
        <v>62</v>
      </c>
      <c r="O25" s="7">
        <f>607000+220384</f>
        <v>827384</v>
      </c>
      <c r="P25" s="7">
        <f>539649.24+219934</f>
        <v>759583.24</v>
      </c>
      <c r="Q25" s="7">
        <f>594000+190904</f>
        <v>784904</v>
      </c>
      <c r="R25" s="7">
        <f>515600+105000</f>
        <v>620600</v>
      </c>
      <c r="S25" s="7">
        <f>515600+105000</f>
        <v>620600</v>
      </c>
      <c r="T25" s="87">
        <f>515600+105000</f>
        <v>620600</v>
      </c>
    </row>
    <row r="26" spans="1:20" x14ac:dyDescent="0.25">
      <c r="A26" s="266"/>
      <c r="B26" s="142"/>
      <c r="C26" s="22"/>
      <c r="D26" s="22"/>
      <c r="E26" s="140"/>
      <c r="F26" s="4"/>
      <c r="G26" s="4"/>
      <c r="H26" s="142"/>
      <c r="I26" s="22"/>
      <c r="J26" s="22"/>
      <c r="K26" s="28" t="s">
        <v>54</v>
      </c>
      <c r="L26" s="12" t="s">
        <v>60</v>
      </c>
      <c r="M26" s="12" t="s">
        <v>63</v>
      </c>
      <c r="N26" s="12" t="s">
        <v>62</v>
      </c>
      <c r="O26" s="7">
        <v>48000</v>
      </c>
      <c r="P26" s="7">
        <v>45078</v>
      </c>
      <c r="Q26" s="7">
        <v>29600</v>
      </c>
      <c r="R26" s="7">
        <v>29500</v>
      </c>
      <c r="S26" s="7">
        <v>29500</v>
      </c>
      <c r="T26" s="87">
        <v>29500</v>
      </c>
    </row>
    <row r="27" spans="1:20" x14ac:dyDescent="0.25">
      <c r="A27" s="266"/>
      <c r="B27" s="142"/>
      <c r="C27" s="22"/>
      <c r="D27" s="22"/>
      <c r="E27" s="140"/>
      <c r="F27" s="4"/>
      <c r="G27" s="4"/>
      <c r="H27" s="142"/>
      <c r="I27" s="22"/>
      <c r="J27" s="22"/>
      <c r="K27" s="28" t="s">
        <v>54</v>
      </c>
      <c r="L27" s="12" t="s">
        <v>60</v>
      </c>
      <c r="M27" s="12" t="s">
        <v>64</v>
      </c>
      <c r="N27" s="12" t="s">
        <v>62</v>
      </c>
      <c r="O27" s="7">
        <v>40000</v>
      </c>
      <c r="P27" s="7">
        <v>39600</v>
      </c>
      <c r="Q27" s="7">
        <v>42000</v>
      </c>
      <c r="R27" s="7">
        <v>42000</v>
      </c>
      <c r="S27" s="7">
        <v>42000</v>
      </c>
      <c r="T27" s="87">
        <v>42000</v>
      </c>
    </row>
    <row r="28" spans="1:20" x14ac:dyDescent="0.25">
      <c r="A28" s="266"/>
      <c r="B28" s="136"/>
      <c r="C28" s="4"/>
      <c r="D28" s="4"/>
      <c r="E28" s="140"/>
      <c r="F28" s="4"/>
      <c r="G28" s="4"/>
      <c r="H28" s="142"/>
      <c r="I28" s="22"/>
      <c r="J28" s="22"/>
      <c r="K28" s="28" t="s">
        <v>54</v>
      </c>
      <c r="L28" s="12" t="s">
        <v>60</v>
      </c>
      <c r="M28" s="12" t="s">
        <v>65</v>
      </c>
      <c r="N28" s="12" t="s">
        <v>62</v>
      </c>
      <c r="O28" s="7">
        <v>505000</v>
      </c>
      <c r="P28" s="7">
        <v>410286</v>
      </c>
      <c r="Q28" s="7">
        <f>224890</f>
        <v>224890</v>
      </c>
      <c r="R28" s="7">
        <f>83000</f>
        <v>83000</v>
      </c>
      <c r="S28" s="7">
        <f>83000</f>
        <v>83000</v>
      </c>
      <c r="T28" s="87">
        <f>83000</f>
        <v>83000</v>
      </c>
    </row>
    <row r="29" spans="1:20" x14ac:dyDescent="0.25">
      <c r="A29" s="266"/>
      <c r="B29" s="136"/>
      <c r="C29" s="4"/>
      <c r="D29" s="4"/>
      <c r="E29" s="140"/>
      <c r="F29" s="4"/>
      <c r="G29" s="4"/>
      <c r="H29" s="136"/>
      <c r="I29" s="3"/>
      <c r="J29" s="3"/>
      <c r="K29" s="28" t="s">
        <v>54</v>
      </c>
      <c r="L29" s="12" t="s">
        <v>60</v>
      </c>
      <c r="M29" s="12" t="s">
        <v>67</v>
      </c>
      <c r="N29" s="12" t="s">
        <v>62</v>
      </c>
      <c r="O29" s="7">
        <v>182000</v>
      </c>
      <c r="P29" s="7">
        <v>118877.6</v>
      </c>
      <c r="Q29" s="7">
        <f>214800+45169</f>
        <v>259969</v>
      </c>
      <c r="R29" s="7">
        <f>178800+43000</f>
        <v>221800</v>
      </c>
      <c r="S29" s="7">
        <f>203800+43000</f>
        <v>246800</v>
      </c>
      <c r="T29" s="87">
        <f>178800+43000</f>
        <v>221800</v>
      </c>
    </row>
    <row r="30" spans="1:20" x14ac:dyDescent="0.25">
      <c r="A30" s="266"/>
      <c r="B30" s="136"/>
      <c r="C30" s="4"/>
      <c r="D30" s="4"/>
      <c r="E30" s="140"/>
      <c r="F30" s="4"/>
      <c r="G30" s="4"/>
      <c r="H30" s="136"/>
      <c r="I30" s="3"/>
      <c r="J30" s="3"/>
      <c r="K30" s="28" t="s">
        <v>54</v>
      </c>
      <c r="L30" s="12" t="s">
        <v>60</v>
      </c>
      <c r="M30" s="12" t="s">
        <v>67</v>
      </c>
      <c r="N30" s="12" t="s">
        <v>68</v>
      </c>
      <c r="O30" s="7">
        <f>2000+118000</f>
        <v>120000</v>
      </c>
      <c r="P30" s="7">
        <f>3.06+116819</f>
        <v>116822.06</v>
      </c>
      <c r="Q30" s="7">
        <f>5200</f>
        <v>5200</v>
      </c>
      <c r="R30" s="7">
        <f>7332.67+640.28</f>
        <v>7972.95</v>
      </c>
      <c r="S30" s="7">
        <f>5200</f>
        <v>5200</v>
      </c>
      <c r="T30" s="87">
        <f>5200</f>
        <v>5200</v>
      </c>
    </row>
    <row r="31" spans="1:20" x14ac:dyDescent="0.25">
      <c r="A31" s="266"/>
      <c r="B31" s="136"/>
      <c r="C31" s="4"/>
      <c r="D31" s="4"/>
      <c r="E31" s="140"/>
      <c r="F31" s="4"/>
      <c r="G31" s="4"/>
      <c r="H31" s="136"/>
      <c r="I31" s="3"/>
      <c r="J31" s="3"/>
      <c r="K31" s="28" t="s">
        <v>54</v>
      </c>
      <c r="L31" s="12" t="s">
        <v>60</v>
      </c>
      <c r="M31" s="12" t="s">
        <v>706</v>
      </c>
      <c r="N31" s="12" t="s">
        <v>68</v>
      </c>
      <c r="O31" s="7">
        <v>0</v>
      </c>
      <c r="P31" s="7">
        <v>0</v>
      </c>
      <c r="Q31" s="7">
        <v>0</v>
      </c>
      <c r="R31" s="41">
        <v>4100000</v>
      </c>
      <c r="S31" s="7">
        <v>0</v>
      </c>
      <c r="T31" s="87">
        <v>0</v>
      </c>
    </row>
    <row r="32" spans="1:20" x14ac:dyDescent="0.25">
      <c r="A32" s="266"/>
      <c r="B32" s="136"/>
      <c r="C32" s="4"/>
      <c r="D32" s="4"/>
      <c r="E32" s="140"/>
      <c r="F32" s="4"/>
      <c r="G32" s="4"/>
      <c r="H32" s="136"/>
      <c r="I32" s="3"/>
      <c r="J32" s="3"/>
      <c r="K32" s="28" t="s">
        <v>54</v>
      </c>
      <c r="L32" s="12" t="s">
        <v>60</v>
      </c>
      <c r="M32" s="12" t="s">
        <v>370</v>
      </c>
      <c r="N32" s="12" t="s">
        <v>62</v>
      </c>
      <c r="O32" s="7">
        <v>0</v>
      </c>
      <c r="P32" s="7">
        <v>0</v>
      </c>
      <c r="Q32" s="7">
        <v>337370.07</v>
      </c>
      <c r="R32" s="7">
        <v>0</v>
      </c>
      <c r="S32" s="7">
        <v>0</v>
      </c>
      <c r="T32" s="87">
        <v>1300000</v>
      </c>
    </row>
    <row r="33" spans="1:21" x14ac:dyDescent="0.25">
      <c r="A33" s="266"/>
      <c r="B33" s="136"/>
      <c r="C33" s="4"/>
      <c r="D33" s="4"/>
      <c r="E33" s="140"/>
      <c r="F33" s="4"/>
      <c r="G33" s="4"/>
      <c r="H33" s="136"/>
      <c r="I33" s="3"/>
      <c r="J33" s="3"/>
      <c r="K33" s="28" t="s">
        <v>54</v>
      </c>
      <c r="L33" s="12" t="s">
        <v>60</v>
      </c>
      <c r="M33" s="12" t="s">
        <v>370</v>
      </c>
      <c r="N33" s="12" t="s">
        <v>68</v>
      </c>
      <c r="O33" s="7">
        <v>0</v>
      </c>
      <c r="P33" s="7">
        <v>0</v>
      </c>
      <c r="Q33" s="7">
        <v>40063940.32</v>
      </c>
      <c r="R33" s="7">
        <v>0</v>
      </c>
      <c r="S33" s="7">
        <v>1300000</v>
      </c>
      <c r="T33" s="87">
        <v>1300000</v>
      </c>
    </row>
    <row r="34" spans="1:21" x14ac:dyDescent="0.25">
      <c r="A34" s="266"/>
      <c r="B34" s="136"/>
      <c r="C34" s="4"/>
      <c r="D34" s="4"/>
      <c r="E34" s="140"/>
      <c r="F34" s="4"/>
      <c r="G34" s="4"/>
      <c r="H34" s="136"/>
      <c r="I34" s="3"/>
      <c r="J34" s="3"/>
      <c r="K34" s="28" t="s">
        <v>54</v>
      </c>
      <c r="L34" s="12" t="s">
        <v>73</v>
      </c>
      <c r="M34" s="12" t="s">
        <v>74</v>
      </c>
      <c r="N34" s="12" t="s">
        <v>68</v>
      </c>
      <c r="O34" s="7">
        <v>3000000</v>
      </c>
      <c r="P34" s="7">
        <v>0</v>
      </c>
      <c r="Q34" s="7">
        <v>3000000</v>
      </c>
      <c r="R34" s="7">
        <f>2500000+500000</f>
        <v>3000000</v>
      </c>
      <c r="S34" s="7">
        <v>3000000</v>
      </c>
      <c r="T34" s="87">
        <v>3000000</v>
      </c>
    </row>
    <row r="35" spans="1:21" ht="49.5" x14ac:dyDescent="0.25">
      <c r="A35" s="266" t="s">
        <v>22</v>
      </c>
      <c r="B35" s="134" t="s">
        <v>372</v>
      </c>
      <c r="C35" s="170" t="s">
        <v>373</v>
      </c>
      <c r="D35" s="170" t="s">
        <v>374</v>
      </c>
      <c r="E35" s="164" t="s">
        <v>390</v>
      </c>
      <c r="F35" s="164" t="s">
        <v>391</v>
      </c>
      <c r="G35" s="164" t="s">
        <v>392</v>
      </c>
      <c r="H35" s="136" t="s">
        <v>243</v>
      </c>
      <c r="I35" s="3" t="s">
        <v>247</v>
      </c>
      <c r="J35" s="3" t="s">
        <v>300</v>
      </c>
      <c r="K35" s="28"/>
      <c r="L35" s="12"/>
      <c r="M35" s="12"/>
      <c r="N35" s="12"/>
      <c r="O35" s="86">
        <f t="shared" ref="O35:T35" si="3">SUM(O36:O57)</f>
        <v>121388339.84</v>
      </c>
      <c r="P35" s="86">
        <f t="shared" si="3"/>
        <v>120648339.84</v>
      </c>
      <c r="Q35" s="86">
        <f t="shared" si="3"/>
        <v>87439378.599999994</v>
      </c>
      <c r="R35" s="86">
        <f t="shared" si="3"/>
        <v>82169982.219999999</v>
      </c>
      <c r="S35" s="86">
        <f t="shared" si="3"/>
        <v>71814453.719999999</v>
      </c>
      <c r="T35" s="86">
        <f t="shared" si="3"/>
        <v>71814453.719999999</v>
      </c>
    </row>
    <row r="36" spans="1:21" ht="82.5" x14ac:dyDescent="0.25">
      <c r="A36" s="266"/>
      <c r="B36" s="137" t="s">
        <v>375</v>
      </c>
      <c r="C36" s="171" t="s">
        <v>376</v>
      </c>
      <c r="D36" s="171" t="s">
        <v>377</v>
      </c>
      <c r="E36" s="165" t="s">
        <v>388</v>
      </c>
      <c r="F36" s="165" t="s">
        <v>380</v>
      </c>
      <c r="G36" s="165" t="s">
        <v>389</v>
      </c>
      <c r="H36" s="136" t="s">
        <v>154</v>
      </c>
      <c r="I36" s="3" t="s">
        <v>254</v>
      </c>
      <c r="J36" s="3" t="s">
        <v>301</v>
      </c>
      <c r="K36" s="51" t="s">
        <v>54</v>
      </c>
      <c r="L36" s="52" t="s">
        <v>55</v>
      </c>
      <c r="M36" s="116" t="s">
        <v>369</v>
      </c>
      <c r="N36" s="224" t="s">
        <v>57</v>
      </c>
      <c r="O36" s="117">
        <v>8343382</v>
      </c>
      <c r="P36" s="117">
        <v>8343382</v>
      </c>
      <c r="Q36" s="84">
        <v>8319858.7000000002</v>
      </c>
      <c r="R36" s="84">
        <v>8319858.71</v>
      </c>
      <c r="S36" s="84">
        <v>8319858.71</v>
      </c>
      <c r="T36" s="84">
        <v>8319858.71</v>
      </c>
    </row>
    <row r="37" spans="1:21" ht="49.5" x14ac:dyDescent="0.25">
      <c r="A37" s="266"/>
      <c r="B37" s="140"/>
      <c r="C37" s="4"/>
      <c r="D37" s="4"/>
      <c r="E37" s="165" t="s">
        <v>385</v>
      </c>
      <c r="F37" s="165" t="s">
        <v>386</v>
      </c>
      <c r="G37" s="165" t="s">
        <v>387</v>
      </c>
      <c r="H37" s="144" t="s">
        <v>246</v>
      </c>
      <c r="I37" s="13" t="s">
        <v>49</v>
      </c>
      <c r="J37" s="14" t="s">
        <v>302</v>
      </c>
      <c r="K37" s="51" t="s">
        <v>54</v>
      </c>
      <c r="L37" s="52" t="s">
        <v>60</v>
      </c>
      <c r="M37" s="116" t="s">
        <v>196</v>
      </c>
      <c r="N37" s="224" t="s">
        <v>62</v>
      </c>
      <c r="O37" s="117">
        <v>246742.88</v>
      </c>
      <c r="P37" s="117">
        <v>246742.88</v>
      </c>
      <c r="Q37" s="84">
        <v>236000</v>
      </c>
      <c r="R37" s="84">
        <f>200000+25000</f>
        <v>225000</v>
      </c>
      <c r="S37" s="84">
        <v>200000</v>
      </c>
      <c r="T37" s="84">
        <v>200000</v>
      </c>
    </row>
    <row r="38" spans="1:21" ht="74.25" x14ac:dyDescent="0.25">
      <c r="A38" s="266"/>
      <c r="B38" s="140"/>
      <c r="C38" s="4"/>
      <c r="D38" s="4"/>
      <c r="E38" s="164" t="s">
        <v>393</v>
      </c>
      <c r="F38" s="164" t="s">
        <v>380</v>
      </c>
      <c r="G38" s="164" t="s">
        <v>394</v>
      </c>
      <c r="H38" s="136" t="s">
        <v>69</v>
      </c>
      <c r="I38" s="13" t="s">
        <v>253</v>
      </c>
      <c r="J38" s="25" t="s">
        <v>250</v>
      </c>
      <c r="K38" s="51" t="s">
        <v>54</v>
      </c>
      <c r="L38" s="52" t="s">
        <v>60</v>
      </c>
      <c r="M38" s="116" t="s">
        <v>196</v>
      </c>
      <c r="N38" s="224" t="s">
        <v>68</v>
      </c>
      <c r="O38" s="117">
        <v>243257.12</v>
      </c>
      <c r="P38" s="117">
        <v>243257.12</v>
      </c>
      <c r="Q38" s="84">
        <v>0</v>
      </c>
      <c r="R38" s="84">
        <v>0</v>
      </c>
      <c r="S38" s="84">
        <v>0</v>
      </c>
      <c r="T38" s="84">
        <v>0</v>
      </c>
    </row>
    <row r="39" spans="1:21" ht="74.25" x14ac:dyDescent="0.25">
      <c r="A39" s="266"/>
      <c r="B39" s="140"/>
      <c r="C39" s="4"/>
      <c r="D39" s="4"/>
      <c r="E39" s="165" t="s">
        <v>395</v>
      </c>
      <c r="F39" s="165" t="s">
        <v>380</v>
      </c>
      <c r="G39" s="165" t="s">
        <v>396</v>
      </c>
      <c r="H39" s="145" t="s">
        <v>589</v>
      </c>
      <c r="I39" s="3"/>
      <c r="J39" s="3" t="s">
        <v>596</v>
      </c>
      <c r="K39" s="51" t="s">
        <v>54</v>
      </c>
      <c r="L39" s="52" t="s">
        <v>60</v>
      </c>
      <c r="M39" s="116" t="s">
        <v>197</v>
      </c>
      <c r="N39" s="224" t="s">
        <v>62</v>
      </c>
      <c r="O39" s="117">
        <v>7554790.4900000002</v>
      </c>
      <c r="P39" s="117">
        <v>7554790.4900000002</v>
      </c>
      <c r="Q39" s="84">
        <v>8924000</v>
      </c>
      <c r="R39" s="84">
        <v>7250000</v>
      </c>
      <c r="S39" s="84">
        <v>7250000</v>
      </c>
      <c r="T39" s="84">
        <v>7250000</v>
      </c>
    </row>
    <row r="40" spans="1:21" ht="66" x14ac:dyDescent="0.25">
      <c r="A40" s="266"/>
      <c r="B40" s="146"/>
      <c r="C40" s="4"/>
      <c r="D40" s="4"/>
      <c r="E40" s="165" t="s">
        <v>397</v>
      </c>
      <c r="F40" s="165" t="s">
        <v>398</v>
      </c>
      <c r="G40" s="165" t="s">
        <v>399</v>
      </c>
      <c r="H40" s="145" t="s">
        <v>590</v>
      </c>
      <c r="I40" s="3"/>
      <c r="J40" s="3" t="s">
        <v>588</v>
      </c>
      <c r="K40" s="51" t="s">
        <v>54</v>
      </c>
      <c r="L40" s="52" t="s">
        <v>60</v>
      </c>
      <c r="M40" s="116" t="s">
        <v>61</v>
      </c>
      <c r="N40" s="224" t="s">
        <v>62</v>
      </c>
      <c r="O40" s="117">
        <v>1488000</v>
      </c>
      <c r="P40" s="117">
        <v>1488000</v>
      </c>
      <c r="Q40" s="34">
        <v>388000</v>
      </c>
      <c r="R40" s="34">
        <f>388000+95000</f>
        <v>483000</v>
      </c>
      <c r="S40" s="34">
        <v>388000</v>
      </c>
      <c r="T40" s="85">
        <v>388000</v>
      </c>
      <c r="U40" s="10"/>
    </row>
    <row r="41" spans="1:21" ht="74.25" x14ac:dyDescent="0.25">
      <c r="A41" s="266"/>
      <c r="B41" s="146"/>
      <c r="C41" s="4"/>
      <c r="D41" s="4"/>
      <c r="E41" s="164" t="s">
        <v>393</v>
      </c>
      <c r="F41" s="164" t="s">
        <v>380</v>
      </c>
      <c r="G41" s="164" t="s">
        <v>394</v>
      </c>
      <c r="H41" s="136" t="s">
        <v>591</v>
      </c>
      <c r="I41" s="3"/>
      <c r="J41" s="3" t="s">
        <v>308</v>
      </c>
      <c r="K41" s="51" t="s">
        <v>54</v>
      </c>
      <c r="L41" s="52" t="s">
        <v>60</v>
      </c>
      <c r="M41" s="116" t="s">
        <v>64</v>
      </c>
      <c r="N41" s="224" t="s">
        <v>62</v>
      </c>
      <c r="O41" s="117">
        <v>12000</v>
      </c>
      <c r="P41" s="117">
        <v>12000</v>
      </c>
      <c r="Q41" s="34">
        <v>12000</v>
      </c>
      <c r="R41" s="34">
        <v>12000</v>
      </c>
      <c r="S41" s="34">
        <v>12000</v>
      </c>
      <c r="T41" s="85">
        <v>12000</v>
      </c>
      <c r="U41" s="10"/>
    </row>
    <row r="42" spans="1:21" ht="74.25" x14ac:dyDescent="0.25">
      <c r="A42" s="266"/>
      <c r="B42" s="146"/>
      <c r="C42" s="4"/>
      <c r="D42" s="4"/>
      <c r="E42" s="165" t="s">
        <v>395</v>
      </c>
      <c r="F42" s="165" t="s">
        <v>380</v>
      </c>
      <c r="G42" s="165" t="s">
        <v>396</v>
      </c>
      <c r="H42" s="136" t="s">
        <v>592</v>
      </c>
      <c r="I42" s="3"/>
      <c r="J42" s="3" t="s">
        <v>593</v>
      </c>
      <c r="K42" s="51" t="s">
        <v>54</v>
      </c>
      <c r="L42" s="52" t="s">
        <v>55</v>
      </c>
      <c r="M42" s="116" t="s">
        <v>360</v>
      </c>
      <c r="N42" s="224" t="s">
        <v>57</v>
      </c>
      <c r="O42" s="117">
        <v>28500</v>
      </c>
      <c r="P42" s="117">
        <v>28500</v>
      </c>
      <c r="Q42" s="34">
        <v>59700</v>
      </c>
      <c r="R42" s="34">
        <f>59700-22200</f>
        <v>37500</v>
      </c>
      <c r="S42" s="34">
        <v>59700</v>
      </c>
      <c r="T42" s="85">
        <v>59700</v>
      </c>
      <c r="U42" s="10"/>
    </row>
    <row r="43" spans="1:21" ht="74.25" x14ac:dyDescent="0.25">
      <c r="A43" s="266"/>
      <c r="B43" s="146"/>
      <c r="C43" s="4"/>
      <c r="D43" s="4"/>
      <c r="E43" s="165" t="s">
        <v>397</v>
      </c>
      <c r="F43" s="165" t="s">
        <v>398</v>
      </c>
      <c r="G43" s="165" t="s">
        <v>399</v>
      </c>
      <c r="H43" s="136" t="s">
        <v>594</v>
      </c>
      <c r="I43" s="3"/>
      <c r="J43" s="3" t="s">
        <v>595</v>
      </c>
      <c r="K43" s="51" t="s">
        <v>54</v>
      </c>
      <c r="L43" s="52" t="s">
        <v>55</v>
      </c>
      <c r="M43" s="116" t="s">
        <v>360</v>
      </c>
      <c r="N43" s="224" t="s">
        <v>62</v>
      </c>
      <c r="O43" s="117">
        <f>24000+46783</f>
        <v>70783</v>
      </c>
      <c r="P43" s="117">
        <f>24000+46783</f>
        <v>70783</v>
      </c>
      <c r="Q43" s="34">
        <v>138700</v>
      </c>
      <c r="R43" s="237">
        <f>138700-72800</f>
        <v>65900</v>
      </c>
      <c r="S43" s="34">
        <v>138700</v>
      </c>
      <c r="T43" s="34">
        <v>138700</v>
      </c>
      <c r="U43" s="10"/>
    </row>
    <row r="44" spans="1:21" ht="49.5" x14ac:dyDescent="0.25">
      <c r="A44" s="266"/>
      <c r="B44" s="146"/>
      <c r="C44" s="4"/>
      <c r="D44" s="4"/>
      <c r="E44" s="136"/>
      <c r="F44" s="3"/>
      <c r="G44" s="3"/>
      <c r="H44" s="136" t="s">
        <v>53</v>
      </c>
      <c r="I44" s="3"/>
      <c r="J44" s="3" t="s">
        <v>313</v>
      </c>
      <c r="K44" s="51" t="s">
        <v>54</v>
      </c>
      <c r="L44" s="52" t="s">
        <v>55</v>
      </c>
      <c r="M44" s="116" t="s">
        <v>66</v>
      </c>
      <c r="N44" s="224" t="s">
        <v>57</v>
      </c>
      <c r="O44" s="117">
        <v>153400.38</v>
      </c>
      <c r="P44" s="117">
        <v>153400.38</v>
      </c>
      <c r="Q44" s="34">
        <v>378400</v>
      </c>
      <c r="R44" s="34">
        <v>378400</v>
      </c>
      <c r="S44" s="34">
        <v>378400</v>
      </c>
      <c r="T44" s="85">
        <v>378400</v>
      </c>
      <c r="U44" s="10"/>
    </row>
    <row r="45" spans="1:21" ht="41.25" x14ac:dyDescent="0.25">
      <c r="A45" s="266"/>
      <c r="B45" s="146"/>
      <c r="C45" s="4"/>
      <c r="D45" s="4"/>
      <c r="E45" s="136"/>
      <c r="F45" s="3"/>
      <c r="G45" s="3"/>
      <c r="H45" s="136" t="s">
        <v>70</v>
      </c>
      <c r="I45" s="3"/>
      <c r="J45" s="3" t="s">
        <v>315</v>
      </c>
      <c r="K45" s="51" t="s">
        <v>54</v>
      </c>
      <c r="L45" s="52" t="s">
        <v>60</v>
      </c>
      <c r="M45" s="116" t="s">
        <v>67</v>
      </c>
      <c r="N45" s="224" t="s">
        <v>62</v>
      </c>
      <c r="O45" s="117">
        <v>121948</v>
      </c>
      <c r="P45" s="117">
        <v>121948</v>
      </c>
      <c r="Q45" s="34">
        <v>196600</v>
      </c>
      <c r="R45" s="34">
        <v>196600</v>
      </c>
      <c r="S45" s="34">
        <v>196600</v>
      </c>
      <c r="T45" s="85">
        <v>196600</v>
      </c>
      <c r="U45" s="10"/>
    </row>
    <row r="46" spans="1:21" x14ac:dyDescent="0.25">
      <c r="A46" s="266"/>
      <c r="B46" s="146"/>
      <c r="C46" s="4"/>
      <c r="D46" s="4"/>
      <c r="E46" s="136"/>
      <c r="F46" s="3"/>
      <c r="G46" s="3"/>
      <c r="H46" s="136"/>
      <c r="I46" s="3"/>
      <c r="J46" s="3"/>
      <c r="K46" s="51" t="s">
        <v>54</v>
      </c>
      <c r="L46" s="52" t="s">
        <v>60</v>
      </c>
      <c r="M46" s="116" t="s">
        <v>67</v>
      </c>
      <c r="N46" s="224" t="s">
        <v>68</v>
      </c>
      <c r="O46" s="117">
        <v>1628.17</v>
      </c>
      <c r="P46" s="117">
        <v>1628.17</v>
      </c>
      <c r="Q46" s="34">
        <v>4500</v>
      </c>
      <c r="R46" s="34">
        <v>5920.32</v>
      </c>
      <c r="S46" s="34">
        <v>4500</v>
      </c>
      <c r="T46" s="85">
        <v>4500</v>
      </c>
      <c r="U46" s="10"/>
    </row>
    <row r="47" spans="1:21" x14ac:dyDescent="0.25">
      <c r="A47" s="266"/>
      <c r="B47" s="146"/>
      <c r="C47" s="4"/>
      <c r="D47" s="4"/>
      <c r="E47" s="136"/>
      <c r="F47" s="3"/>
      <c r="G47" s="3"/>
      <c r="H47" s="136"/>
      <c r="I47" s="3"/>
      <c r="J47" s="3"/>
      <c r="K47" s="51" t="s">
        <v>54</v>
      </c>
      <c r="L47" s="52" t="s">
        <v>60</v>
      </c>
      <c r="M47" s="116" t="s">
        <v>551</v>
      </c>
      <c r="N47" s="224" t="s">
        <v>68</v>
      </c>
      <c r="O47" s="117">
        <v>0</v>
      </c>
      <c r="P47" s="117">
        <v>0</v>
      </c>
      <c r="Q47" s="34">
        <v>236745.5</v>
      </c>
      <c r="R47" s="34">
        <v>0</v>
      </c>
      <c r="S47" s="34">
        <v>0</v>
      </c>
      <c r="T47" s="85">
        <v>0</v>
      </c>
      <c r="U47" s="10"/>
    </row>
    <row r="48" spans="1:21" x14ac:dyDescent="0.25">
      <c r="A48" s="266"/>
      <c r="B48" s="146"/>
      <c r="C48" s="4"/>
      <c r="D48" s="4"/>
      <c r="E48" s="136"/>
      <c r="F48" s="3"/>
      <c r="G48" s="3"/>
      <c r="H48" s="136"/>
      <c r="I48" s="3"/>
      <c r="J48" s="3"/>
      <c r="K48" s="51" t="s">
        <v>54</v>
      </c>
      <c r="L48" s="52" t="s">
        <v>60</v>
      </c>
      <c r="M48" s="116" t="s">
        <v>370</v>
      </c>
      <c r="N48" s="224" t="s">
        <v>62</v>
      </c>
      <c r="O48" s="117">
        <v>36390488.450000003</v>
      </c>
      <c r="P48" s="117">
        <v>36390488.450000003</v>
      </c>
      <c r="Q48" s="34"/>
      <c r="R48" s="34"/>
      <c r="S48" s="34"/>
      <c r="T48" s="85"/>
      <c r="U48" s="10"/>
    </row>
    <row r="49" spans="1:21" x14ac:dyDescent="0.25">
      <c r="A49" s="266"/>
      <c r="B49" s="146"/>
      <c r="C49" s="4"/>
      <c r="D49" s="4"/>
      <c r="E49" s="136"/>
      <c r="F49" s="3"/>
      <c r="G49" s="3"/>
      <c r="H49" s="136"/>
      <c r="I49" s="3"/>
      <c r="J49" s="3"/>
      <c r="K49" s="118" t="s">
        <v>54</v>
      </c>
      <c r="L49" s="119" t="s">
        <v>60</v>
      </c>
      <c r="M49" s="120" t="s">
        <v>370</v>
      </c>
      <c r="N49" s="225" t="s">
        <v>68</v>
      </c>
      <c r="O49" s="121">
        <v>715827.42</v>
      </c>
      <c r="P49" s="121">
        <v>715827.42</v>
      </c>
      <c r="Q49" s="34"/>
      <c r="R49" s="34"/>
      <c r="S49" s="34"/>
      <c r="T49" s="85"/>
      <c r="U49" s="10"/>
    </row>
    <row r="50" spans="1:21" x14ac:dyDescent="0.25">
      <c r="A50" s="266"/>
      <c r="B50" s="146"/>
      <c r="C50" s="4"/>
      <c r="D50" s="4"/>
      <c r="E50" s="136"/>
      <c r="F50" s="3"/>
      <c r="G50" s="3"/>
      <c r="H50" s="136"/>
      <c r="I50" s="3"/>
      <c r="J50" s="3"/>
      <c r="K50" s="51" t="s">
        <v>55</v>
      </c>
      <c r="L50" s="52" t="s">
        <v>18</v>
      </c>
      <c r="M50" s="122" t="s">
        <v>199</v>
      </c>
      <c r="N50" s="226" t="s">
        <v>57</v>
      </c>
      <c r="O50" s="123">
        <v>401199.18</v>
      </c>
      <c r="P50" s="123">
        <v>401199.18</v>
      </c>
      <c r="Q50" s="34">
        <v>551100</v>
      </c>
      <c r="R50" s="34">
        <v>568100</v>
      </c>
      <c r="S50" s="34">
        <v>568100</v>
      </c>
      <c r="T50" s="85">
        <v>568100</v>
      </c>
      <c r="U50" s="10"/>
    </row>
    <row r="51" spans="1:21" x14ac:dyDescent="0.25">
      <c r="A51" s="266"/>
      <c r="B51" s="146"/>
      <c r="C51" s="4"/>
      <c r="D51" s="4"/>
      <c r="E51" s="136"/>
      <c r="F51" s="3"/>
      <c r="G51" s="3"/>
      <c r="H51" s="136"/>
      <c r="I51" s="3"/>
      <c r="J51" s="3"/>
      <c r="K51" s="51" t="s">
        <v>55</v>
      </c>
      <c r="L51" s="52" t="s">
        <v>18</v>
      </c>
      <c r="M51" s="122" t="s">
        <v>198</v>
      </c>
      <c r="N51" s="226" t="s">
        <v>57</v>
      </c>
      <c r="O51" s="123">
        <v>15840661.77</v>
      </c>
      <c r="P51" s="123">
        <v>15840661.77</v>
      </c>
      <c r="Q51" s="34">
        <v>18104470</v>
      </c>
      <c r="R51" s="34">
        <v>13952938</v>
      </c>
      <c r="S51" s="34">
        <v>13229000</v>
      </c>
      <c r="T51" s="85">
        <v>13229000</v>
      </c>
      <c r="U51" s="10"/>
    </row>
    <row r="52" spans="1:21" x14ac:dyDescent="0.25">
      <c r="A52" s="266"/>
      <c r="B52" s="146"/>
      <c r="C52" s="4"/>
      <c r="D52" s="4"/>
      <c r="E52" s="136"/>
      <c r="F52" s="3"/>
      <c r="G52" s="3"/>
      <c r="H52" s="136"/>
      <c r="I52" s="3"/>
      <c r="J52" s="3"/>
      <c r="K52" s="51" t="s">
        <v>55</v>
      </c>
      <c r="L52" s="52" t="s">
        <v>18</v>
      </c>
      <c r="M52" s="122" t="s">
        <v>198</v>
      </c>
      <c r="N52" s="226" t="s">
        <v>62</v>
      </c>
      <c r="O52" s="123">
        <v>2635898.0699999998</v>
      </c>
      <c r="P52" s="123">
        <v>2635898.0699999998</v>
      </c>
      <c r="Q52" s="34">
        <v>3382643</v>
      </c>
      <c r="R52" s="34">
        <v>2429750</v>
      </c>
      <c r="S52" s="34">
        <v>2429750</v>
      </c>
      <c r="T52" s="85">
        <v>2429750</v>
      </c>
      <c r="U52" s="10"/>
    </row>
    <row r="53" spans="1:21" x14ac:dyDescent="0.25">
      <c r="A53" s="266"/>
      <c r="B53" s="146"/>
      <c r="C53" s="4"/>
      <c r="D53" s="4"/>
      <c r="E53" s="136"/>
      <c r="F53" s="3"/>
      <c r="G53" s="3"/>
      <c r="H53" s="136"/>
      <c r="I53" s="3"/>
      <c r="J53" s="3"/>
      <c r="K53" s="51" t="s">
        <v>55</v>
      </c>
      <c r="L53" s="52" t="s">
        <v>18</v>
      </c>
      <c r="M53" s="122" t="s">
        <v>198</v>
      </c>
      <c r="N53" s="226" t="s">
        <v>68</v>
      </c>
      <c r="O53" s="123">
        <v>23775.279999999999</v>
      </c>
      <c r="P53" s="123">
        <v>23775.279999999999</v>
      </c>
      <c r="Q53" s="34">
        <v>2860</v>
      </c>
      <c r="R53" s="34">
        <v>13153.32</v>
      </c>
      <c r="S53" s="34">
        <v>2860</v>
      </c>
      <c r="T53" s="85">
        <v>2860</v>
      </c>
      <c r="U53" s="10"/>
    </row>
    <row r="54" spans="1:21" x14ac:dyDescent="0.25">
      <c r="A54" s="266"/>
      <c r="B54" s="146"/>
      <c r="C54" s="4"/>
      <c r="D54" s="4"/>
      <c r="E54" s="136"/>
      <c r="F54" s="3"/>
      <c r="G54" s="3"/>
      <c r="H54" s="136"/>
      <c r="I54" s="3"/>
      <c r="J54" s="3"/>
      <c r="K54" s="51" t="s">
        <v>153</v>
      </c>
      <c r="L54" s="52" t="s">
        <v>54</v>
      </c>
      <c r="M54" s="122" t="s">
        <v>371</v>
      </c>
      <c r="N54" s="226" t="s">
        <v>62</v>
      </c>
      <c r="O54" s="123">
        <v>15429422</v>
      </c>
      <c r="P54" s="123">
        <v>14689422</v>
      </c>
      <c r="Q54" s="34">
        <v>13864501.4</v>
      </c>
      <c r="R54" s="34">
        <v>12162561.869999999</v>
      </c>
      <c r="S54" s="34">
        <v>11797685.01</v>
      </c>
      <c r="T54" s="85">
        <v>11797685.01</v>
      </c>
      <c r="U54" s="10"/>
    </row>
    <row r="55" spans="1:21" x14ac:dyDescent="0.25">
      <c r="A55" s="266"/>
      <c r="B55" s="146"/>
      <c r="C55" s="4"/>
      <c r="D55" s="4"/>
      <c r="E55" s="136"/>
      <c r="F55" s="3"/>
      <c r="G55" s="3"/>
      <c r="H55" s="136"/>
      <c r="I55" s="3"/>
      <c r="J55" s="3"/>
      <c r="K55" s="51" t="s">
        <v>153</v>
      </c>
      <c r="L55" s="52" t="s">
        <v>54</v>
      </c>
      <c r="M55" s="122" t="s">
        <v>554</v>
      </c>
      <c r="N55" s="226" t="s">
        <v>62</v>
      </c>
      <c r="O55" s="123">
        <v>0</v>
      </c>
      <c r="P55" s="123">
        <v>0</v>
      </c>
      <c r="Q55" s="34">
        <v>3600000</v>
      </c>
      <c r="R55" s="34">
        <v>3600000</v>
      </c>
      <c r="S55" s="34">
        <v>1800000</v>
      </c>
      <c r="T55" s="85">
        <v>1800000</v>
      </c>
      <c r="U55" s="10"/>
    </row>
    <row r="56" spans="1:21" x14ac:dyDescent="0.25">
      <c r="A56" s="266"/>
      <c r="B56" s="146"/>
      <c r="C56" s="4"/>
      <c r="D56" s="4"/>
      <c r="E56" s="136"/>
      <c r="F56" s="3"/>
      <c r="G56" s="3"/>
      <c r="H56" s="136"/>
      <c r="I56" s="3"/>
      <c r="J56" s="3"/>
      <c r="K56" s="51" t="s">
        <v>153</v>
      </c>
      <c r="L56" s="52" t="s">
        <v>54</v>
      </c>
      <c r="M56" s="122" t="s">
        <v>200</v>
      </c>
      <c r="N56" s="226" t="s">
        <v>62</v>
      </c>
      <c r="O56" s="123">
        <v>17000000</v>
      </c>
      <c r="P56" s="123">
        <v>17000000</v>
      </c>
      <c r="Q56" s="34">
        <v>18400000</v>
      </c>
      <c r="R56" s="34">
        <v>18400000</v>
      </c>
      <c r="S56" s="34">
        <v>13400000</v>
      </c>
      <c r="T56" s="85">
        <v>13400000</v>
      </c>
      <c r="U56" s="10"/>
    </row>
    <row r="57" spans="1:21" x14ac:dyDescent="0.25">
      <c r="A57" s="266"/>
      <c r="B57" s="146"/>
      <c r="C57" s="4"/>
      <c r="D57" s="4"/>
      <c r="E57" s="136"/>
      <c r="F57" s="3"/>
      <c r="G57" s="3"/>
      <c r="H57" s="136"/>
      <c r="I57" s="3"/>
      <c r="J57" s="3"/>
      <c r="K57" s="51" t="s">
        <v>153</v>
      </c>
      <c r="L57" s="52" t="s">
        <v>80</v>
      </c>
      <c r="M57" s="122" t="s">
        <v>206</v>
      </c>
      <c r="N57" s="226" t="s">
        <v>62</v>
      </c>
      <c r="O57" s="123">
        <v>14686635.630000001</v>
      </c>
      <c r="P57" s="123">
        <v>14686635.630000001</v>
      </c>
      <c r="Q57" s="34">
        <v>10639300</v>
      </c>
      <c r="R57" s="34">
        <v>14069300</v>
      </c>
      <c r="S57" s="34">
        <v>11639300</v>
      </c>
      <c r="T57" s="85">
        <v>11639300</v>
      </c>
      <c r="U57" s="10"/>
    </row>
    <row r="58" spans="1:21" ht="57.75" x14ac:dyDescent="0.25">
      <c r="A58" s="266" t="s">
        <v>14</v>
      </c>
      <c r="B58" s="128" t="s">
        <v>372</v>
      </c>
      <c r="C58" s="170" t="s">
        <v>400</v>
      </c>
      <c r="D58" s="170" t="s">
        <v>374</v>
      </c>
      <c r="E58" s="166" t="s">
        <v>406</v>
      </c>
      <c r="F58" s="172" t="s">
        <v>380</v>
      </c>
      <c r="G58" s="172" t="s">
        <v>407</v>
      </c>
      <c r="H58" s="136" t="s">
        <v>243</v>
      </c>
      <c r="I58" s="3" t="s">
        <v>256</v>
      </c>
      <c r="J58" s="3" t="s">
        <v>300</v>
      </c>
      <c r="K58" s="28"/>
      <c r="L58" s="12"/>
      <c r="M58" s="12"/>
      <c r="N58" s="12"/>
      <c r="O58" s="104">
        <f t="shared" ref="O58:T58" si="4">SUM(O59:O68)</f>
        <v>170977296.91</v>
      </c>
      <c r="P58" s="104">
        <f t="shared" si="4"/>
        <v>169846442.09</v>
      </c>
      <c r="Q58" s="104">
        <f t="shared" si="4"/>
        <v>180052117.82999998</v>
      </c>
      <c r="R58" s="104">
        <f t="shared" si="4"/>
        <v>120657351</v>
      </c>
      <c r="S58" s="104">
        <f t="shared" si="4"/>
        <v>98640137.459999993</v>
      </c>
      <c r="T58" s="104">
        <f t="shared" si="4"/>
        <v>77100053.460000008</v>
      </c>
    </row>
    <row r="59" spans="1:21" ht="41.25" x14ac:dyDescent="0.25">
      <c r="A59" s="266"/>
      <c r="B59" s="130" t="s">
        <v>401</v>
      </c>
      <c r="C59" s="171" t="s">
        <v>402</v>
      </c>
      <c r="D59" s="171" t="s">
        <v>403</v>
      </c>
      <c r="E59" s="140"/>
      <c r="F59" s="4"/>
      <c r="G59" s="4"/>
      <c r="H59" s="136" t="s">
        <v>154</v>
      </c>
      <c r="I59" s="3" t="s">
        <v>253</v>
      </c>
      <c r="J59" s="3" t="s">
        <v>301</v>
      </c>
      <c r="K59" s="51" t="s">
        <v>55</v>
      </c>
      <c r="L59" s="52" t="s">
        <v>91</v>
      </c>
      <c r="M59" s="116" t="s">
        <v>155</v>
      </c>
      <c r="N59" s="224" t="s">
        <v>62</v>
      </c>
      <c r="O59" s="117">
        <v>4352127</v>
      </c>
      <c r="P59" s="117">
        <v>4277167.9400000004</v>
      </c>
      <c r="Q59" s="84">
        <v>1889668.29</v>
      </c>
      <c r="R59" s="84">
        <v>0</v>
      </c>
      <c r="S59" s="84">
        <v>1841950</v>
      </c>
      <c r="T59" s="84">
        <v>1046410</v>
      </c>
    </row>
    <row r="60" spans="1:21" ht="66" x14ac:dyDescent="0.25">
      <c r="A60" s="266"/>
      <c r="B60" s="130" t="s">
        <v>404</v>
      </c>
      <c r="C60" s="171" t="s">
        <v>383</v>
      </c>
      <c r="D60" s="171" t="s">
        <v>405</v>
      </c>
      <c r="E60" s="140"/>
      <c r="F60" s="4"/>
      <c r="G60" s="4"/>
      <c r="H60" s="136" t="s">
        <v>161</v>
      </c>
      <c r="I60" s="3"/>
      <c r="J60" s="3" t="s">
        <v>303</v>
      </c>
      <c r="K60" s="51" t="s">
        <v>55</v>
      </c>
      <c r="L60" s="52" t="s">
        <v>91</v>
      </c>
      <c r="M60" s="116" t="s">
        <v>544</v>
      </c>
      <c r="N60" s="224" t="s">
        <v>62</v>
      </c>
      <c r="O60" s="117">
        <v>29669761.82</v>
      </c>
      <c r="P60" s="117">
        <v>29669761.82</v>
      </c>
      <c r="Q60" s="84">
        <v>29928617.469999999</v>
      </c>
      <c r="R60" s="84">
        <v>0</v>
      </c>
      <c r="S60" s="84">
        <v>0</v>
      </c>
      <c r="T60" s="84">
        <v>0</v>
      </c>
    </row>
    <row r="61" spans="1:21" ht="41.25" x14ac:dyDescent="0.25">
      <c r="A61" s="266"/>
      <c r="B61" s="141"/>
      <c r="C61" s="5"/>
      <c r="D61" s="5"/>
      <c r="E61" s="140"/>
      <c r="F61" s="4"/>
      <c r="G61" s="4"/>
      <c r="H61" s="15" t="s">
        <v>257</v>
      </c>
      <c r="I61" s="3" t="s">
        <v>335</v>
      </c>
      <c r="J61" s="25" t="s">
        <v>249</v>
      </c>
      <c r="K61" s="51" t="s">
        <v>55</v>
      </c>
      <c r="L61" s="52" t="s">
        <v>91</v>
      </c>
      <c r="M61" s="116" t="s">
        <v>158</v>
      </c>
      <c r="N61" s="224" t="s">
        <v>62</v>
      </c>
      <c r="O61" s="117">
        <v>10330100</v>
      </c>
      <c r="P61" s="117">
        <v>9997341.9600000009</v>
      </c>
      <c r="Q61" s="84">
        <v>10130000</v>
      </c>
      <c r="R61" s="84">
        <v>0</v>
      </c>
      <c r="S61" s="84">
        <v>0</v>
      </c>
      <c r="T61" s="84">
        <v>0</v>
      </c>
    </row>
    <row r="62" spans="1:21" ht="41.25" x14ac:dyDescent="0.25">
      <c r="A62" s="266"/>
      <c r="B62" s="141"/>
      <c r="C62" s="5"/>
      <c r="D62" s="5"/>
      <c r="E62" s="140"/>
      <c r="F62" s="4"/>
      <c r="G62" s="4"/>
      <c r="H62" s="136" t="s">
        <v>345</v>
      </c>
      <c r="I62" s="3"/>
      <c r="J62" s="3" t="s">
        <v>346</v>
      </c>
      <c r="K62" s="51" t="s">
        <v>55</v>
      </c>
      <c r="L62" s="52" t="s">
        <v>91</v>
      </c>
      <c r="M62" s="116" t="s">
        <v>583</v>
      </c>
      <c r="N62" s="224" t="s">
        <v>108</v>
      </c>
      <c r="O62" s="117">
        <v>0</v>
      </c>
      <c r="P62" s="117">
        <v>0</v>
      </c>
      <c r="Q62" s="84">
        <v>23549797</v>
      </c>
      <c r="R62" s="84">
        <v>0</v>
      </c>
      <c r="S62" s="84">
        <v>0</v>
      </c>
      <c r="T62" s="84">
        <v>0</v>
      </c>
    </row>
    <row r="63" spans="1:21" x14ac:dyDescent="0.25">
      <c r="A63" s="266"/>
      <c r="B63" s="141"/>
      <c r="C63" s="5"/>
      <c r="D63" s="5"/>
      <c r="E63" s="140"/>
      <c r="F63" s="4"/>
      <c r="G63" s="4"/>
      <c r="H63" s="136"/>
      <c r="I63" s="3"/>
      <c r="J63" s="3"/>
      <c r="K63" s="51" t="s">
        <v>55</v>
      </c>
      <c r="L63" s="52" t="s">
        <v>91</v>
      </c>
      <c r="M63" s="116" t="s">
        <v>584</v>
      </c>
      <c r="N63" s="224" t="s">
        <v>108</v>
      </c>
      <c r="O63" s="117">
        <v>0</v>
      </c>
      <c r="P63" s="117">
        <v>0</v>
      </c>
      <c r="Q63" s="84">
        <v>1739463</v>
      </c>
      <c r="R63" s="84">
        <v>0</v>
      </c>
      <c r="S63" s="84">
        <v>0</v>
      </c>
      <c r="T63" s="84">
        <v>0</v>
      </c>
    </row>
    <row r="64" spans="1:21" x14ac:dyDescent="0.25">
      <c r="A64" s="266"/>
      <c r="B64" s="141"/>
      <c r="C64" s="5"/>
      <c r="D64" s="5"/>
      <c r="E64" s="140"/>
      <c r="F64" s="4"/>
      <c r="G64" s="4"/>
      <c r="H64" s="136"/>
      <c r="I64" s="3"/>
      <c r="J64" s="3"/>
      <c r="K64" s="51" t="s">
        <v>55</v>
      </c>
      <c r="L64" s="52" t="s">
        <v>91</v>
      </c>
      <c r="M64" s="116" t="s">
        <v>585</v>
      </c>
      <c r="N64" s="224" t="s">
        <v>62</v>
      </c>
      <c r="O64" s="117">
        <v>0</v>
      </c>
      <c r="P64" s="117">
        <v>0</v>
      </c>
      <c r="Q64" s="84">
        <v>0</v>
      </c>
      <c r="R64" s="84">
        <v>683825.21</v>
      </c>
      <c r="S64" s="84">
        <v>0</v>
      </c>
      <c r="T64" s="84">
        <v>0</v>
      </c>
    </row>
    <row r="65" spans="1:20" x14ac:dyDescent="0.25">
      <c r="A65" s="266"/>
      <c r="B65" s="141"/>
      <c r="C65" s="5"/>
      <c r="D65" s="5"/>
      <c r="E65" s="140"/>
      <c r="F65" s="4"/>
      <c r="G65" s="4"/>
      <c r="H65" s="136"/>
      <c r="I65" s="3"/>
      <c r="J65" s="3"/>
      <c r="K65" s="51" t="s">
        <v>55</v>
      </c>
      <c r="L65" s="52" t="s">
        <v>91</v>
      </c>
      <c r="M65" s="116" t="s">
        <v>156</v>
      </c>
      <c r="N65" s="224" t="s">
        <v>62</v>
      </c>
      <c r="O65" s="117">
        <v>106776872.09</v>
      </c>
      <c r="P65" s="117">
        <v>106761959.25</v>
      </c>
      <c r="Q65" s="84">
        <v>110494772.84</v>
      </c>
      <c r="R65" s="84">
        <v>104167975.79000001</v>
      </c>
      <c r="S65" s="84">
        <v>80626277.459999993</v>
      </c>
      <c r="T65" s="84">
        <v>60944363.460000001</v>
      </c>
    </row>
    <row r="66" spans="1:20" x14ac:dyDescent="0.25">
      <c r="A66" s="266"/>
      <c r="B66" s="141"/>
      <c r="C66" s="5"/>
      <c r="D66" s="5"/>
      <c r="E66" s="140"/>
      <c r="F66" s="4"/>
      <c r="G66" s="4"/>
      <c r="H66" s="136"/>
      <c r="I66" s="3"/>
      <c r="J66" s="3"/>
      <c r="K66" s="51" t="s">
        <v>55</v>
      </c>
      <c r="L66" s="52" t="s">
        <v>91</v>
      </c>
      <c r="M66" s="116" t="s">
        <v>157</v>
      </c>
      <c r="N66" s="224" t="s">
        <v>62</v>
      </c>
      <c r="O66" s="117">
        <v>18293505</v>
      </c>
      <c r="P66" s="117">
        <v>18103113.579999998</v>
      </c>
      <c r="Q66" s="84">
        <v>558738.06999999995</v>
      </c>
      <c r="R66" s="84">
        <v>11960550</v>
      </c>
      <c r="S66" s="84">
        <v>12114380</v>
      </c>
      <c r="T66" s="84">
        <v>11079620</v>
      </c>
    </row>
    <row r="67" spans="1:20" x14ac:dyDescent="0.25">
      <c r="A67" s="266"/>
      <c r="B67" s="141"/>
      <c r="C67" s="5"/>
      <c r="D67" s="5"/>
      <c r="E67" s="140"/>
      <c r="F67" s="4"/>
      <c r="G67" s="4"/>
      <c r="H67" s="136"/>
      <c r="I67" s="3"/>
      <c r="J67" s="3"/>
      <c r="K67" s="51" t="s">
        <v>55</v>
      </c>
      <c r="L67" s="52" t="s">
        <v>91</v>
      </c>
      <c r="M67" s="116" t="s">
        <v>159</v>
      </c>
      <c r="N67" s="224" t="s">
        <v>62</v>
      </c>
      <c r="O67" s="117">
        <v>502168</v>
      </c>
      <c r="P67" s="117">
        <v>0</v>
      </c>
      <c r="Q67" s="84">
        <v>221061.16</v>
      </c>
      <c r="R67" s="84">
        <v>0</v>
      </c>
      <c r="S67" s="84">
        <v>212530</v>
      </c>
      <c r="T67" s="84">
        <v>184660</v>
      </c>
    </row>
    <row r="68" spans="1:20" x14ac:dyDescent="0.25">
      <c r="A68" s="266"/>
      <c r="B68" s="141"/>
      <c r="C68" s="5"/>
      <c r="D68" s="5"/>
      <c r="E68" s="140"/>
      <c r="F68" s="4"/>
      <c r="G68" s="4"/>
      <c r="H68" s="136"/>
      <c r="I68" s="3"/>
      <c r="J68" s="3"/>
      <c r="K68" s="51" t="s">
        <v>55</v>
      </c>
      <c r="L68" s="52" t="s">
        <v>91</v>
      </c>
      <c r="M68" s="116" t="s">
        <v>171</v>
      </c>
      <c r="N68" s="224" t="s">
        <v>62</v>
      </c>
      <c r="O68" s="117">
        <v>1052763</v>
      </c>
      <c r="P68" s="117">
        <v>1037097.54</v>
      </c>
      <c r="Q68" s="84">
        <v>1540000</v>
      </c>
      <c r="R68" s="84">
        <v>3845000</v>
      </c>
      <c r="S68" s="84">
        <v>3845000</v>
      </c>
      <c r="T68" s="84">
        <v>3845000</v>
      </c>
    </row>
    <row r="69" spans="1:20" ht="66" x14ac:dyDescent="0.25">
      <c r="A69" s="266" t="s">
        <v>15</v>
      </c>
      <c r="B69" s="125" t="s">
        <v>372</v>
      </c>
      <c r="C69" s="172" t="s">
        <v>408</v>
      </c>
      <c r="D69" s="172" t="s">
        <v>374</v>
      </c>
      <c r="E69" s="166" t="s">
        <v>411</v>
      </c>
      <c r="F69" s="172" t="s">
        <v>412</v>
      </c>
      <c r="G69" s="172" t="s">
        <v>413</v>
      </c>
      <c r="H69" s="136" t="s">
        <v>243</v>
      </c>
      <c r="I69" s="3" t="s">
        <v>258</v>
      </c>
      <c r="J69" s="3" t="s">
        <v>244</v>
      </c>
      <c r="K69" s="28"/>
      <c r="L69" s="12"/>
      <c r="M69" s="12"/>
      <c r="N69" s="12"/>
      <c r="O69" s="104">
        <f t="shared" ref="O69:P69" si="5">SUM(O70:O75)</f>
        <v>10374353.960000001</v>
      </c>
      <c r="P69" s="104">
        <f t="shared" si="5"/>
        <v>10331307.870000001</v>
      </c>
      <c r="Q69" s="104">
        <f>SUM(Q70:Q75)</f>
        <v>1305403.17</v>
      </c>
      <c r="R69" s="104">
        <f t="shared" ref="R69:T69" si="6">SUM(R70:R75)</f>
        <v>2253285.84</v>
      </c>
      <c r="S69" s="104">
        <f t="shared" si="6"/>
        <v>3524000</v>
      </c>
      <c r="T69" s="104">
        <f t="shared" si="6"/>
        <v>8024000</v>
      </c>
    </row>
    <row r="70" spans="1:20" ht="115.5" x14ac:dyDescent="0.25">
      <c r="A70" s="266"/>
      <c r="B70" s="167" t="s">
        <v>409</v>
      </c>
      <c r="C70" s="173" t="s">
        <v>380</v>
      </c>
      <c r="D70" s="173" t="s">
        <v>410</v>
      </c>
      <c r="E70" s="136"/>
      <c r="F70" s="3"/>
      <c r="G70" s="3"/>
      <c r="H70" s="136" t="s">
        <v>164</v>
      </c>
      <c r="I70" s="3" t="s">
        <v>254</v>
      </c>
      <c r="J70" s="25" t="s">
        <v>249</v>
      </c>
      <c r="K70" s="51" t="s">
        <v>153</v>
      </c>
      <c r="L70" s="52" t="s">
        <v>54</v>
      </c>
      <c r="M70" s="38" t="s">
        <v>582</v>
      </c>
      <c r="N70" s="52" t="s">
        <v>62</v>
      </c>
      <c r="O70" s="197">
        <v>0</v>
      </c>
      <c r="P70" s="197">
        <v>0</v>
      </c>
      <c r="Q70" s="197">
        <v>0</v>
      </c>
      <c r="R70" s="197">
        <v>0</v>
      </c>
      <c r="S70" s="197">
        <v>0</v>
      </c>
      <c r="T70" s="197">
        <v>1000000</v>
      </c>
    </row>
    <row r="71" spans="1:20" ht="41.25" x14ac:dyDescent="0.25">
      <c r="A71" s="266"/>
      <c r="B71" s="141"/>
      <c r="C71" s="5"/>
      <c r="D71" s="5"/>
      <c r="E71" s="136"/>
      <c r="F71" s="3"/>
      <c r="G71" s="3"/>
      <c r="H71" s="147" t="s">
        <v>160</v>
      </c>
      <c r="I71" s="3" t="s">
        <v>254</v>
      </c>
      <c r="J71" s="3" t="s">
        <v>301</v>
      </c>
      <c r="K71" s="51" t="s">
        <v>153</v>
      </c>
      <c r="L71" s="52" t="s">
        <v>54</v>
      </c>
      <c r="M71" s="38" t="s">
        <v>162</v>
      </c>
      <c r="N71" s="52" t="s">
        <v>62</v>
      </c>
      <c r="O71" s="84">
        <v>7499016</v>
      </c>
      <c r="P71" s="84">
        <v>7498970.7400000002</v>
      </c>
      <c r="Q71" s="84">
        <v>0</v>
      </c>
      <c r="R71" s="197">
        <f>5802384.84-3749099</f>
        <v>2053285.8399999999</v>
      </c>
      <c r="S71" s="197">
        <v>3324000</v>
      </c>
      <c r="T71" s="197">
        <v>6524000</v>
      </c>
    </row>
    <row r="72" spans="1:20" ht="49.5" x14ac:dyDescent="0.25">
      <c r="A72" s="266"/>
      <c r="B72" s="141"/>
      <c r="C72" s="5"/>
      <c r="D72" s="5"/>
      <c r="E72" s="136"/>
      <c r="F72" s="3"/>
      <c r="G72" s="3"/>
      <c r="H72" s="144" t="s">
        <v>246</v>
      </c>
      <c r="I72" s="13" t="s">
        <v>49</v>
      </c>
      <c r="J72" s="14" t="s">
        <v>302</v>
      </c>
      <c r="K72" s="51" t="s">
        <v>153</v>
      </c>
      <c r="L72" s="52" t="s">
        <v>54</v>
      </c>
      <c r="M72" s="38" t="s">
        <v>163</v>
      </c>
      <c r="N72" s="52" t="s">
        <v>62</v>
      </c>
      <c r="O72" s="84">
        <v>570133</v>
      </c>
      <c r="P72" s="84">
        <v>527132.17000000004</v>
      </c>
      <c r="Q72" s="84">
        <v>1000000</v>
      </c>
      <c r="R72" s="84">
        <v>0</v>
      </c>
      <c r="S72" s="84">
        <v>0</v>
      </c>
      <c r="T72" s="84">
        <v>100000</v>
      </c>
    </row>
    <row r="73" spans="1:20" x14ac:dyDescent="0.25">
      <c r="A73" s="266"/>
      <c r="B73" s="141"/>
      <c r="C73" s="5"/>
      <c r="D73" s="5"/>
      <c r="E73" s="136"/>
      <c r="F73" s="3"/>
      <c r="G73" s="3"/>
      <c r="H73" s="144"/>
      <c r="I73" s="13"/>
      <c r="J73" s="14"/>
      <c r="K73" s="51" t="s">
        <v>153</v>
      </c>
      <c r="L73" s="52" t="s">
        <v>80</v>
      </c>
      <c r="M73" s="38" t="s">
        <v>370</v>
      </c>
      <c r="N73" s="52" t="s">
        <v>62</v>
      </c>
      <c r="O73" s="84">
        <v>1770530.08</v>
      </c>
      <c r="P73" s="84">
        <v>1770530.08</v>
      </c>
      <c r="Q73" s="84">
        <v>5403.17</v>
      </c>
      <c r="R73" s="84">
        <v>0</v>
      </c>
      <c r="S73" s="84">
        <v>0</v>
      </c>
      <c r="T73" s="84">
        <v>0</v>
      </c>
    </row>
    <row r="74" spans="1:20" x14ac:dyDescent="0.25">
      <c r="A74" s="266"/>
      <c r="B74" s="141"/>
      <c r="C74" s="5"/>
      <c r="D74" s="5"/>
      <c r="E74" s="136"/>
      <c r="F74" s="3"/>
      <c r="G74" s="3"/>
      <c r="H74" s="144"/>
      <c r="I74" s="13"/>
      <c r="J74" s="14"/>
      <c r="K74" s="51" t="s">
        <v>153</v>
      </c>
      <c r="L74" s="52" t="s">
        <v>80</v>
      </c>
      <c r="M74" s="38" t="s">
        <v>370</v>
      </c>
      <c r="N74" s="52" t="s">
        <v>68</v>
      </c>
      <c r="O74" s="84">
        <v>269771.64</v>
      </c>
      <c r="P74" s="84">
        <v>269771.64</v>
      </c>
      <c r="Q74" s="84">
        <v>0</v>
      </c>
      <c r="R74" s="84">
        <v>0</v>
      </c>
      <c r="S74" s="84">
        <v>0</v>
      </c>
      <c r="T74" s="84">
        <v>0</v>
      </c>
    </row>
    <row r="75" spans="1:20" x14ac:dyDescent="0.25">
      <c r="A75" s="266"/>
      <c r="B75" s="141"/>
      <c r="C75" s="5"/>
      <c r="D75" s="5"/>
      <c r="E75" s="136"/>
      <c r="F75" s="3"/>
      <c r="G75" s="3"/>
      <c r="H75" s="136"/>
      <c r="I75" s="3"/>
      <c r="J75" s="3"/>
      <c r="K75" s="51" t="s">
        <v>121</v>
      </c>
      <c r="L75" s="52" t="s">
        <v>122</v>
      </c>
      <c r="M75" s="38" t="s">
        <v>102</v>
      </c>
      <c r="N75" s="52" t="s">
        <v>62</v>
      </c>
      <c r="O75" s="84">
        <v>264903.24</v>
      </c>
      <c r="P75" s="84">
        <v>264903.24</v>
      </c>
      <c r="Q75" s="7">
        <v>300000</v>
      </c>
      <c r="R75" s="7">
        <v>200000</v>
      </c>
      <c r="S75" s="7">
        <v>200000</v>
      </c>
      <c r="T75" s="87">
        <v>400000</v>
      </c>
    </row>
    <row r="76" spans="1:20" ht="49.5" x14ac:dyDescent="0.25">
      <c r="A76" s="282" t="s">
        <v>602</v>
      </c>
      <c r="B76" s="202" t="s">
        <v>372</v>
      </c>
      <c r="C76" s="185" t="s">
        <v>603</v>
      </c>
      <c r="D76" s="185" t="s">
        <v>374</v>
      </c>
      <c r="E76" s="203" t="s">
        <v>606</v>
      </c>
      <c r="F76" s="204" t="s">
        <v>608</v>
      </c>
      <c r="G76" s="204" t="s">
        <v>607</v>
      </c>
      <c r="H76" s="210"/>
      <c r="I76" s="26"/>
      <c r="J76" s="26"/>
      <c r="K76" s="91"/>
      <c r="L76" s="205"/>
      <c r="M76" s="38"/>
      <c r="N76" s="205"/>
      <c r="O76" s="206">
        <f t="shared" ref="O76:Q76" si="7">SUM(O77:O78)</f>
        <v>0</v>
      </c>
      <c r="P76" s="206">
        <f t="shared" si="7"/>
        <v>0</v>
      </c>
      <c r="Q76" s="206">
        <f t="shared" si="7"/>
        <v>0</v>
      </c>
      <c r="R76" s="206">
        <f>SUM(R77:R78)</f>
        <v>19468539</v>
      </c>
      <c r="S76" s="206">
        <f t="shared" ref="S76:T76" si="8">SUM(S77:S78)</f>
        <v>0</v>
      </c>
      <c r="T76" s="206">
        <f t="shared" si="8"/>
        <v>0</v>
      </c>
    </row>
    <row r="77" spans="1:20" ht="66" x14ac:dyDescent="0.25">
      <c r="A77" s="283"/>
      <c r="B77" s="207" t="s">
        <v>604</v>
      </c>
      <c r="C77" s="208" t="s">
        <v>376</v>
      </c>
      <c r="D77" s="208" t="s">
        <v>605</v>
      </c>
      <c r="E77" s="148" t="s">
        <v>609</v>
      </c>
      <c r="F77" s="26"/>
      <c r="G77" s="26" t="s">
        <v>610</v>
      </c>
      <c r="H77" s="148"/>
      <c r="I77" s="26"/>
      <c r="J77" s="26"/>
      <c r="K77" s="91" t="s">
        <v>55</v>
      </c>
      <c r="L77" s="205" t="s">
        <v>118</v>
      </c>
      <c r="M77" s="38" t="s">
        <v>586</v>
      </c>
      <c r="N77" s="205" t="s">
        <v>68</v>
      </c>
      <c r="O77" s="209">
        <v>0</v>
      </c>
      <c r="P77" s="209">
        <v>0</v>
      </c>
      <c r="Q77" s="41">
        <v>0</v>
      </c>
      <c r="R77" s="41">
        <v>14100369</v>
      </c>
      <c r="S77" s="41">
        <v>0</v>
      </c>
      <c r="T77" s="105">
        <v>0</v>
      </c>
    </row>
    <row r="78" spans="1:20" x14ac:dyDescent="0.25">
      <c r="A78" s="284"/>
      <c r="B78" s="207"/>
      <c r="C78" s="208"/>
      <c r="D78" s="208"/>
      <c r="E78" s="235"/>
      <c r="F78" s="236"/>
      <c r="G78" s="236"/>
      <c r="H78" s="148"/>
      <c r="I78" s="26"/>
      <c r="J78" s="26"/>
      <c r="K78" s="91" t="s">
        <v>55</v>
      </c>
      <c r="L78" s="205" t="s">
        <v>118</v>
      </c>
      <c r="M78" s="38" t="s">
        <v>708</v>
      </c>
      <c r="N78" s="205" t="s">
        <v>68</v>
      </c>
      <c r="O78" s="209">
        <v>0</v>
      </c>
      <c r="P78" s="209">
        <v>0</v>
      </c>
      <c r="Q78" s="41">
        <v>0</v>
      </c>
      <c r="R78" s="41">
        <v>5368170</v>
      </c>
      <c r="S78" s="41">
        <v>0</v>
      </c>
      <c r="T78" s="105">
        <v>0</v>
      </c>
    </row>
    <row r="79" spans="1:20" ht="57.75" x14ac:dyDescent="0.25">
      <c r="A79" s="266" t="s">
        <v>16</v>
      </c>
      <c r="B79" s="128" t="s">
        <v>372</v>
      </c>
      <c r="C79" s="170" t="s">
        <v>414</v>
      </c>
      <c r="D79" s="170" t="s">
        <v>374</v>
      </c>
      <c r="E79" s="198" t="s">
        <v>420</v>
      </c>
      <c r="F79" s="199" t="s">
        <v>380</v>
      </c>
      <c r="G79" s="199" t="s">
        <v>421</v>
      </c>
      <c r="H79" s="136" t="s">
        <v>243</v>
      </c>
      <c r="I79" s="3" t="s">
        <v>259</v>
      </c>
      <c r="J79" s="3" t="s">
        <v>300</v>
      </c>
      <c r="K79" s="28"/>
      <c r="L79" s="12"/>
      <c r="M79" s="12"/>
      <c r="N79" s="12"/>
      <c r="O79" s="86">
        <f t="shared" ref="O79:T79" si="9">SUM(O80:O139)</f>
        <v>892305581.5</v>
      </c>
      <c r="P79" s="86">
        <f t="shared" si="9"/>
        <v>803550433.74000013</v>
      </c>
      <c r="Q79" s="86">
        <f t="shared" si="9"/>
        <v>872768149.27999997</v>
      </c>
      <c r="R79" s="86">
        <f t="shared" si="9"/>
        <v>946539232.45999992</v>
      </c>
      <c r="S79" s="86">
        <f t="shared" si="9"/>
        <v>750782178.85000002</v>
      </c>
      <c r="T79" s="86">
        <f t="shared" si="9"/>
        <v>770408428.85000002</v>
      </c>
    </row>
    <row r="80" spans="1:20" ht="82.5" x14ac:dyDescent="0.25">
      <c r="A80" s="266"/>
      <c r="B80" s="130" t="s">
        <v>415</v>
      </c>
      <c r="C80" s="171" t="s">
        <v>416</v>
      </c>
      <c r="D80" s="177" t="s">
        <v>417</v>
      </c>
      <c r="E80" s="180" t="s">
        <v>388</v>
      </c>
      <c r="F80" s="171" t="s">
        <v>380</v>
      </c>
      <c r="G80" s="171" t="s">
        <v>389</v>
      </c>
      <c r="H80" s="136" t="s">
        <v>109</v>
      </c>
      <c r="I80" s="3" t="s">
        <v>49</v>
      </c>
      <c r="J80" s="3" t="s">
        <v>250</v>
      </c>
      <c r="K80" s="28" t="s">
        <v>54</v>
      </c>
      <c r="L80" s="12" t="s">
        <v>55</v>
      </c>
      <c r="M80" s="116" t="s">
        <v>103</v>
      </c>
      <c r="N80" s="224" t="s">
        <v>57</v>
      </c>
      <c r="O80" s="117">
        <v>5177145</v>
      </c>
      <c r="P80" s="117">
        <v>5104714.6900000004</v>
      </c>
      <c r="Q80" s="7">
        <v>4614831.01</v>
      </c>
      <c r="R80" s="40">
        <v>4891145</v>
      </c>
      <c r="S80" s="40">
        <v>4891145</v>
      </c>
      <c r="T80" s="40">
        <v>4891145</v>
      </c>
    </row>
    <row r="81" spans="1:20" ht="49.5" x14ac:dyDescent="0.25">
      <c r="A81" s="266"/>
      <c r="B81" s="169" t="s">
        <v>418</v>
      </c>
      <c r="C81" s="175" t="s">
        <v>380</v>
      </c>
      <c r="D81" s="178" t="s">
        <v>419</v>
      </c>
      <c r="E81" s="138" t="s">
        <v>385</v>
      </c>
      <c r="F81" s="171" t="s">
        <v>386</v>
      </c>
      <c r="G81" s="171" t="s">
        <v>387</v>
      </c>
      <c r="H81" s="136" t="s">
        <v>110</v>
      </c>
      <c r="I81" s="3" t="s">
        <v>336</v>
      </c>
      <c r="J81" s="3" t="s">
        <v>250</v>
      </c>
      <c r="K81" s="28" t="s">
        <v>54</v>
      </c>
      <c r="L81" s="12" t="s">
        <v>60</v>
      </c>
      <c r="M81" s="116" t="s">
        <v>75</v>
      </c>
      <c r="N81" s="224" t="s">
        <v>107</v>
      </c>
      <c r="O81" s="117">
        <v>111067.31</v>
      </c>
      <c r="P81" s="117">
        <v>111067.31</v>
      </c>
      <c r="Q81" s="7">
        <v>116277.58</v>
      </c>
      <c r="R81" s="40">
        <v>0</v>
      </c>
      <c r="S81" s="40">
        <v>0</v>
      </c>
      <c r="T81" s="39">
        <v>0</v>
      </c>
    </row>
    <row r="82" spans="1:20" ht="66" x14ac:dyDescent="0.25">
      <c r="A82" s="266"/>
      <c r="B82" s="138" t="s">
        <v>426</v>
      </c>
      <c r="C82" s="131" t="s">
        <v>380</v>
      </c>
      <c r="D82" s="131" t="s">
        <v>427</v>
      </c>
      <c r="E82" s="138" t="s">
        <v>422</v>
      </c>
      <c r="F82" s="171" t="s">
        <v>423</v>
      </c>
      <c r="G82" s="171" t="s">
        <v>424</v>
      </c>
      <c r="H82" s="145" t="s">
        <v>111</v>
      </c>
      <c r="I82" s="3" t="s">
        <v>49</v>
      </c>
      <c r="J82" s="3" t="s">
        <v>304</v>
      </c>
      <c r="K82" s="28" t="s">
        <v>54</v>
      </c>
      <c r="L82" s="12" t="s">
        <v>60</v>
      </c>
      <c r="M82" s="116" t="s">
        <v>61</v>
      </c>
      <c r="N82" s="224" t="s">
        <v>62</v>
      </c>
      <c r="O82" s="117">
        <v>150000</v>
      </c>
      <c r="P82" s="117">
        <v>150000</v>
      </c>
      <c r="Q82" s="7">
        <v>150000</v>
      </c>
      <c r="R82" s="40">
        <v>150000</v>
      </c>
      <c r="S82" s="40">
        <v>150000</v>
      </c>
      <c r="T82" s="39">
        <v>150000</v>
      </c>
    </row>
    <row r="83" spans="1:20" ht="66" x14ac:dyDescent="0.25">
      <c r="A83" s="266"/>
      <c r="B83" s="140"/>
      <c r="C83" s="4"/>
      <c r="D83" s="179"/>
      <c r="E83" s="135" t="s">
        <v>397</v>
      </c>
      <c r="F83" s="129" t="s">
        <v>398</v>
      </c>
      <c r="G83" s="129" t="s">
        <v>399</v>
      </c>
      <c r="H83" s="136" t="s">
        <v>305</v>
      </c>
      <c r="I83" s="3" t="s">
        <v>260</v>
      </c>
      <c r="J83" s="3" t="s">
        <v>250</v>
      </c>
      <c r="K83" s="28" t="s">
        <v>54</v>
      </c>
      <c r="L83" s="12" t="s">
        <v>55</v>
      </c>
      <c r="M83" s="116" t="s">
        <v>360</v>
      </c>
      <c r="N83" s="224" t="s">
        <v>57</v>
      </c>
      <c r="O83" s="117">
        <v>13380</v>
      </c>
      <c r="P83" s="117">
        <v>13380</v>
      </c>
      <c r="Q83" s="7">
        <v>4000</v>
      </c>
      <c r="R83" s="40">
        <v>4000</v>
      </c>
      <c r="S83" s="40">
        <v>4000</v>
      </c>
      <c r="T83" s="39">
        <v>4000</v>
      </c>
    </row>
    <row r="84" spans="1:20" ht="66" x14ac:dyDescent="0.25">
      <c r="A84" s="266"/>
      <c r="B84" s="140"/>
      <c r="C84" s="4"/>
      <c r="D84" s="179"/>
      <c r="E84" s="138" t="s">
        <v>425</v>
      </c>
      <c r="F84" s="131" t="s">
        <v>380</v>
      </c>
      <c r="G84" s="131" t="s">
        <v>396</v>
      </c>
      <c r="H84" s="145" t="s">
        <v>116</v>
      </c>
      <c r="I84" s="3" t="s">
        <v>117</v>
      </c>
      <c r="J84" s="26" t="s">
        <v>319</v>
      </c>
      <c r="K84" s="28" t="s">
        <v>54</v>
      </c>
      <c r="L84" s="12" t="s">
        <v>55</v>
      </c>
      <c r="M84" s="116" t="s">
        <v>360</v>
      </c>
      <c r="N84" s="224" t="s">
        <v>62</v>
      </c>
      <c r="O84" s="117">
        <v>60747</v>
      </c>
      <c r="P84" s="117">
        <v>60747</v>
      </c>
      <c r="Q84" s="7">
        <v>200000</v>
      </c>
      <c r="R84" s="40">
        <v>200000</v>
      </c>
      <c r="S84" s="40">
        <v>200000</v>
      </c>
      <c r="T84" s="40">
        <v>200000</v>
      </c>
    </row>
    <row r="85" spans="1:20" ht="66" x14ac:dyDescent="0.25">
      <c r="A85" s="266"/>
      <c r="B85" s="140"/>
      <c r="C85" s="4"/>
      <c r="D85" s="179"/>
      <c r="E85" s="135" t="s">
        <v>397</v>
      </c>
      <c r="F85" s="129" t="s">
        <v>398</v>
      </c>
      <c r="G85" s="129" t="s">
        <v>399</v>
      </c>
      <c r="H85" s="148" t="s">
        <v>597</v>
      </c>
      <c r="I85" s="26" t="s">
        <v>49</v>
      </c>
      <c r="J85" s="26" t="s">
        <v>306</v>
      </c>
      <c r="K85" s="28" t="s">
        <v>54</v>
      </c>
      <c r="L85" s="12" t="s">
        <v>55</v>
      </c>
      <c r="M85" s="116" t="s">
        <v>66</v>
      </c>
      <c r="N85" s="224" t="s">
        <v>57</v>
      </c>
      <c r="O85" s="117">
        <v>63967.199999999997</v>
      </c>
      <c r="P85" s="117">
        <v>63967.199999999997</v>
      </c>
      <c r="Q85" s="7">
        <v>100000</v>
      </c>
      <c r="R85" s="40">
        <v>100000</v>
      </c>
      <c r="S85" s="40">
        <v>100000</v>
      </c>
      <c r="T85" s="40">
        <v>100000</v>
      </c>
    </row>
    <row r="86" spans="1:20" ht="57.75" x14ac:dyDescent="0.25">
      <c r="A86" s="266"/>
      <c r="B86" s="140"/>
      <c r="C86" s="4"/>
      <c r="D86" s="179"/>
      <c r="E86" s="138" t="s">
        <v>425</v>
      </c>
      <c r="F86" s="131" t="s">
        <v>380</v>
      </c>
      <c r="G86" s="131" t="s">
        <v>396</v>
      </c>
      <c r="H86" s="136" t="s">
        <v>69</v>
      </c>
      <c r="I86" s="13" t="s">
        <v>261</v>
      </c>
      <c r="J86" s="25" t="s">
        <v>250</v>
      </c>
      <c r="K86" s="28" t="s">
        <v>54</v>
      </c>
      <c r="L86" s="12" t="s">
        <v>60</v>
      </c>
      <c r="M86" s="116" t="s">
        <v>67</v>
      </c>
      <c r="N86" s="224" t="s">
        <v>62</v>
      </c>
      <c r="O86" s="117">
        <v>175905.8</v>
      </c>
      <c r="P86" s="117">
        <v>175905.8</v>
      </c>
      <c r="Q86" s="7">
        <v>160000</v>
      </c>
      <c r="R86" s="40">
        <v>160000</v>
      </c>
      <c r="S86" s="40">
        <v>160000</v>
      </c>
      <c r="T86" s="40">
        <v>160000</v>
      </c>
    </row>
    <row r="87" spans="1:20" ht="41.25" x14ac:dyDescent="0.25">
      <c r="A87" s="266"/>
      <c r="B87" s="140"/>
      <c r="C87" s="4"/>
      <c r="D87" s="179"/>
      <c r="E87" s="138"/>
      <c r="F87" s="131"/>
      <c r="G87" s="131"/>
      <c r="H87" s="136" t="s">
        <v>262</v>
      </c>
      <c r="I87" s="3" t="s">
        <v>49</v>
      </c>
      <c r="J87" s="3" t="s">
        <v>308</v>
      </c>
      <c r="K87" s="28" t="s">
        <v>54</v>
      </c>
      <c r="L87" s="12" t="s">
        <v>60</v>
      </c>
      <c r="M87" s="116" t="s">
        <v>67</v>
      </c>
      <c r="N87" s="224" t="s">
        <v>68</v>
      </c>
      <c r="O87" s="117">
        <v>0</v>
      </c>
      <c r="P87" s="117">
        <v>0</v>
      </c>
      <c r="Q87" s="7">
        <v>0</v>
      </c>
      <c r="R87" s="40">
        <v>1900.31</v>
      </c>
      <c r="S87" s="40">
        <v>0</v>
      </c>
      <c r="T87" s="40">
        <v>0</v>
      </c>
    </row>
    <row r="88" spans="1:20" ht="57.75" x14ac:dyDescent="0.25">
      <c r="A88" s="266"/>
      <c r="B88" s="140"/>
      <c r="C88" s="4"/>
      <c r="D88" s="4"/>
      <c r="E88" s="140"/>
      <c r="F88" s="4"/>
      <c r="G88" s="4"/>
      <c r="H88" s="136" t="s">
        <v>307</v>
      </c>
      <c r="I88" s="3"/>
      <c r="J88" s="3" t="s">
        <v>309</v>
      </c>
      <c r="K88" s="28" t="s">
        <v>76</v>
      </c>
      <c r="L88" s="12" t="s">
        <v>54</v>
      </c>
      <c r="M88" s="116" t="s">
        <v>77</v>
      </c>
      <c r="N88" s="224" t="s">
        <v>106</v>
      </c>
      <c r="O88" s="117">
        <v>9707793.6799999997</v>
      </c>
      <c r="P88" s="117">
        <v>9675955.0099999998</v>
      </c>
      <c r="Q88" s="7">
        <v>9707275</v>
      </c>
      <c r="R88" s="40">
        <v>10000000</v>
      </c>
      <c r="S88" s="40">
        <v>1000000</v>
      </c>
      <c r="T88" s="40">
        <v>1000000</v>
      </c>
    </row>
    <row r="89" spans="1:20" ht="33" x14ac:dyDescent="0.25">
      <c r="A89" s="266"/>
      <c r="B89" s="140"/>
      <c r="C89" s="4"/>
      <c r="D89" s="4"/>
      <c r="E89" s="140"/>
      <c r="F89" s="4"/>
      <c r="G89" s="4"/>
      <c r="H89" s="136" t="s">
        <v>351</v>
      </c>
      <c r="I89" s="3"/>
      <c r="J89" s="3" t="s">
        <v>352</v>
      </c>
      <c r="K89" s="28" t="s">
        <v>76</v>
      </c>
      <c r="L89" s="12" t="s">
        <v>54</v>
      </c>
      <c r="M89" s="116" t="s">
        <v>555</v>
      </c>
      <c r="N89" s="224" t="s">
        <v>106</v>
      </c>
      <c r="O89" s="117">
        <v>1377300</v>
      </c>
      <c r="P89" s="117">
        <v>1046626.96</v>
      </c>
      <c r="Q89" s="7">
        <v>1075100</v>
      </c>
      <c r="R89" s="40">
        <v>734358</v>
      </c>
      <c r="S89" s="40">
        <v>767331</v>
      </c>
      <c r="T89" s="40">
        <v>801932</v>
      </c>
    </row>
    <row r="90" spans="1:20" x14ac:dyDescent="0.25">
      <c r="A90" s="266"/>
      <c r="B90" s="140"/>
      <c r="C90" s="4"/>
      <c r="D90" s="4"/>
      <c r="E90" s="140"/>
      <c r="F90" s="4"/>
      <c r="G90" s="4"/>
      <c r="H90" s="136"/>
      <c r="I90" s="3"/>
      <c r="J90" s="3"/>
      <c r="K90" s="28" t="s">
        <v>76</v>
      </c>
      <c r="L90" s="12" t="s">
        <v>54</v>
      </c>
      <c r="M90" s="116" t="s">
        <v>556</v>
      </c>
      <c r="N90" s="224" t="s">
        <v>106</v>
      </c>
      <c r="O90" s="117">
        <v>72600</v>
      </c>
      <c r="P90" s="117">
        <v>55085.63</v>
      </c>
      <c r="Q90" s="7">
        <v>72600</v>
      </c>
      <c r="R90" s="40">
        <v>109867</v>
      </c>
      <c r="S90" s="40">
        <v>109867</v>
      </c>
      <c r="T90" s="40">
        <v>109867</v>
      </c>
    </row>
    <row r="91" spans="1:20" x14ac:dyDescent="0.25">
      <c r="A91" s="266"/>
      <c r="B91" s="140"/>
      <c r="C91" s="4"/>
      <c r="D91" s="4"/>
      <c r="E91" s="140"/>
      <c r="F91" s="4"/>
      <c r="G91" s="4"/>
      <c r="H91" s="136"/>
      <c r="I91" s="3"/>
      <c r="J91" s="3"/>
      <c r="K91" s="28" t="s">
        <v>76</v>
      </c>
      <c r="L91" s="12" t="s">
        <v>54</v>
      </c>
      <c r="M91" s="116" t="s">
        <v>78</v>
      </c>
      <c r="N91" s="224" t="s">
        <v>106</v>
      </c>
      <c r="O91" s="117">
        <v>277068852.50999999</v>
      </c>
      <c r="P91" s="117">
        <v>277068852.50999999</v>
      </c>
      <c r="Q91" s="7">
        <v>237839821.91</v>
      </c>
      <c r="R91" s="40">
        <v>320036738.30000001</v>
      </c>
      <c r="S91" s="40">
        <v>300231871</v>
      </c>
      <c r="T91" s="40">
        <v>301044871</v>
      </c>
    </row>
    <row r="92" spans="1:20" x14ac:dyDescent="0.25">
      <c r="A92" s="266"/>
      <c r="B92" s="140"/>
      <c r="C92" s="4"/>
      <c r="D92" s="4"/>
      <c r="E92" s="140"/>
      <c r="F92" s="4"/>
      <c r="G92" s="4"/>
      <c r="H92" s="136"/>
      <c r="I92" s="3"/>
      <c r="J92" s="3"/>
      <c r="K92" s="28" t="s">
        <v>76</v>
      </c>
      <c r="L92" s="12" t="s">
        <v>54</v>
      </c>
      <c r="M92" s="116" t="s">
        <v>86</v>
      </c>
      <c r="N92" s="224" t="s">
        <v>106</v>
      </c>
      <c r="O92" s="117">
        <v>0</v>
      </c>
      <c r="P92" s="117">
        <v>0</v>
      </c>
      <c r="Q92" s="7">
        <v>110911.6</v>
      </c>
      <c r="R92" s="40">
        <v>110000</v>
      </c>
      <c r="S92" s="40">
        <v>110000</v>
      </c>
      <c r="T92" s="40">
        <v>110000</v>
      </c>
    </row>
    <row r="93" spans="1:20" x14ac:dyDescent="0.25">
      <c r="A93" s="266"/>
      <c r="B93" s="140"/>
      <c r="C93" s="4"/>
      <c r="D93" s="4"/>
      <c r="E93" s="140"/>
      <c r="F93" s="4"/>
      <c r="G93" s="4"/>
      <c r="H93" s="136"/>
      <c r="I93" s="3"/>
      <c r="J93" s="3"/>
      <c r="K93" s="28" t="s">
        <v>76</v>
      </c>
      <c r="L93" s="12" t="s">
        <v>54</v>
      </c>
      <c r="M93" s="116" t="s">
        <v>79</v>
      </c>
      <c r="N93" s="224" t="s">
        <v>108</v>
      </c>
      <c r="O93" s="117">
        <v>339757.68</v>
      </c>
      <c r="P93" s="117">
        <v>339757.68</v>
      </c>
      <c r="Q93" s="7">
        <v>0</v>
      </c>
      <c r="R93" s="40">
        <v>0</v>
      </c>
      <c r="S93" s="40">
        <v>0</v>
      </c>
      <c r="T93" s="40">
        <v>0</v>
      </c>
    </row>
    <row r="94" spans="1:20" x14ac:dyDescent="0.25">
      <c r="A94" s="266"/>
      <c r="B94" s="140"/>
      <c r="C94" s="4"/>
      <c r="D94" s="4"/>
      <c r="E94" s="140"/>
      <c r="F94" s="4"/>
      <c r="G94" s="4"/>
      <c r="H94" s="136"/>
      <c r="I94" s="3"/>
      <c r="J94" s="3"/>
      <c r="K94" s="28" t="s">
        <v>76</v>
      </c>
      <c r="L94" s="12" t="s">
        <v>80</v>
      </c>
      <c r="M94" s="116" t="s">
        <v>77</v>
      </c>
      <c r="N94" s="224" t="s">
        <v>106</v>
      </c>
      <c r="O94" s="117">
        <v>6118519.96</v>
      </c>
      <c r="P94" s="117">
        <v>6115282.7699999996</v>
      </c>
      <c r="Q94" s="7">
        <v>4876513</v>
      </c>
      <c r="R94" s="40">
        <v>5000000</v>
      </c>
      <c r="S94" s="40">
        <v>1000000</v>
      </c>
      <c r="T94" s="40">
        <v>1000000</v>
      </c>
    </row>
    <row r="95" spans="1:20" x14ac:dyDescent="0.25">
      <c r="A95" s="266"/>
      <c r="B95" s="140"/>
      <c r="C95" s="4"/>
      <c r="D95" s="4"/>
      <c r="E95" s="140"/>
      <c r="F95" s="4"/>
      <c r="G95" s="4"/>
      <c r="H95" s="136"/>
      <c r="I95" s="3"/>
      <c r="J95" s="3"/>
      <c r="K95" s="28" t="s">
        <v>76</v>
      </c>
      <c r="L95" s="12" t="s">
        <v>80</v>
      </c>
      <c r="M95" s="116" t="s">
        <v>81</v>
      </c>
      <c r="N95" s="224" t="s">
        <v>106</v>
      </c>
      <c r="O95" s="117">
        <v>116899306.33</v>
      </c>
      <c r="P95" s="117">
        <v>116899306.33</v>
      </c>
      <c r="Q95" s="7">
        <v>69190817.739999995</v>
      </c>
      <c r="R95" s="40">
        <f>108530844.08-915435.25</f>
        <v>107615408.83</v>
      </c>
      <c r="S95" s="40">
        <v>94993100</v>
      </c>
      <c r="T95" s="40">
        <v>99993100</v>
      </c>
    </row>
    <row r="96" spans="1:20" x14ac:dyDescent="0.25">
      <c r="A96" s="266"/>
      <c r="B96" s="140"/>
      <c r="C96" s="4"/>
      <c r="D96" s="4"/>
      <c r="E96" s="140"/>
      <c r="F96" s="4"/>
      <c r="G96" s="4"/>
      <c r="H96" s="136"/>
      <c r="I96" s="3"/>
      <c r="J96" s="3"/>
      <c r="K96" s="28" t="s">
        <v>76</v>
      </c>
      <c r="L96" s="12" t="s">
        <v>80</v>
      </c>
      <c r="M96" s="116" t="s">
        <v>82</v>
      </c>
      <c r="N96" s="224" t="s">
        <v>106</v>
      </c>
      <c r="O96" s="117">
        <v>1687359.67</v>
      </c>
      <c r="P96" s="117">
        <v>1687359.67</v>
      </c>
      <c r="Q96" s="7">
        <v>0</v>
      </c>
      <c r="R96" s="7">
        <v>0</v>
      </c>
      <c r="S96" s="7">
        <v>0</v>
      </c>
      <c r="T96" s="7">
        <v>0</v>
      </c>
    </row>
    <row r="97" spans="1:20" x14ac:dyDescent="0.25">
      <c r="A97" s="266"/>
      <c r="B97" s="140"/>
      <c r="C97" s="4"/>
      <c r="D97" s="4"/>
      <c r="E97" s="140"/>
      <c r="F97" s="4"/>
      <c r="G97" s="4"/>
      <c r="H97" s="136"/>
      <c r="I97" s="3"/>
      <c r="J97" s="3"/>
      <c r="K97" s="28" t="s">
        <v>76</v>
      </c>
      <c r="L97" s="12" t="s">
        <v>80</v>
      </c>
      <c r="M97" s="116" t="s">
        <v>84</v>
      </c>
      <c r="N97" s="224" t="s">
        <v>106</v>
      </c>
      <c r="O97" s="117">
        <v>1041468</v>
      </c>
      <c r="P97" s="117">
        <v>1041468</v>
      </c>
      <c r="Q97" s="7">
        <v>750000</v>
      </c>
      <c r="R97" s="40">
        <v>750000</v>
      </c>
      <c r="S97" s="40">
        <v>750000</v>
      </c>
      <c r="T97" s="39">
        <v>750000</v>
      </c>
    </row>
    <row r="98" spans="1:20" x14ac:dyDescent="0.25">
      <c r="A98" s="266"/>
      <c r="B98" s="140"/>
      <c r="C98" s="4"/>
      <c r="D98" s="4"/>
      <c r="E98" s="140"/>
      <c r="F98" s="4"/>
      <c r="G98" s="4"/>
      <c r="H98" s="136"/>
      <c r="I98" s="3"/>
      <c r="J98" s="3"/>
      <c r="K98" s="28" t="s">
        <v>76</v>
      </c>
      <c r="L98" s="12" t="s">
        <v>80</v>
      </c>
      <c r="M98" s="116" t="s">
        <v>85</v>
      </c>
      <c r="N98" s="224" t="s">
        <v>106</v>
      </c>
      <c r="O98" s="117">
        <v>50000</v>
      </c>
      <c r="P98" s="117">
        <v>50000</v>
      </c>
      <c r="Q98" s="7">
        <v>50000</v>
      </c>
      <c r="R98" s="7">
        <v>50000</v>
      </c>
      <c r="S98" s="7">
        <v>50000</v>
      </c>
      <c r="T98" s="7">
        <v>50000</v>
      </c>
    </row>
    <row r="99" spans="1:20" x14ac:dyDescent="0.25">
      <c r="A99" s="266"/>
      <c r="B99" s="140"/>
      <c r="C99" s="4"/>
      <c r="D99" s="4"/>
      <c r="E99" s="140"/>
      <c r="F99" s="4"/>
      <c r="G99" s="4"/>
      <c r="H99" s="136"/>
      <c r="I99" s="3"/>
      <c r="J99" s="3"/>
      <c r="K99" s="28" t="s">
        <v>76</v>
      </c>
      <c r="L99" s="12" t="s">
        <v>80</v>
      </c>
      <c r="M99" s="116" t="s">
        <v>86</v>
      </c>
      <c r="N99" s="224" t="s">
        <v>106</v>
      </c>
      <c r="O99" s="117">
        <v>992860.48</v>
      </c>
      <c r="P99" s="117">
        <v>992860.48</v>
      </c>
      <c r="Q99" s="7">
        <v>338951.6</v>
      </c>
      <c r="R99" s="40">
        <v>340000</v>
      </c>
      <c r="S99" s="40">
        <v>340000</v>
      </c>
      <c r="T99" s="40">
        <v>340000</v>
      </c>
    </row>
    <row r="100" spans="1:20" x14ac:dyDescent="0.25">
      <c r="A100" s="266"/>
      <c r="B100" s="140"/>
      <c r="C100" s="4"/>
      <c r="D100" s="4"/>
      <c r="E100" s="140"/>
      <c r="F100" s="4"/>
      <c r="G100" s="4"/>
      <c r="H100" s="136"/>
      <c r="I100" s="3"/>
      <c r="J100" s="3"/>
      <c r="K100" s="28" t="s">
        <v>76</v>
      </c>
      <c r="L100" s="12" t="s">
        <v>80</v>
      </c>
      <c r="M100" s="116" t="s">
        <v>367</v>
      </c>
      <c r="N100" s="224" t="s">
        <v>106</v>
      </c>
      <c r="O100" s="117">
        <v>1650100</v>
      </c>
      <c r="P100" s="117">
        <v>1628764.92</v>
      </c>
      <c r="Q100" s="7">
        <v>1635100</v>
      </c>
      <c r="R100" s="40">
        <v>1756000</v>
      </c>
      <c r="S100" s="40">
        <v>1756000</v>
      </c>
      <c r="T100" s="40">
        <v>1756000</v>
      </c>
    </row>
    <row r="101" spans="1:20" x14ac:dyDescent="0.25">
      <c r="A101" s="266"/>
      <c r="B101" s="140"/>
      <c r="C101" s="4"/>
      <c r="D101" s="4"/>
      <c r="E101" s="140"/>
      <c r="F101" s="4"/>
      <c r="G101" s="4"/>
      <c r="H101" s="136"/>
      <c r="I101" s="3"/>
      <c r="J101" s="3"/>
      <c r="K101" s="28" t="s">
        <v>76</v>
      </c>
      <c r="L101" s="12" t="s">
        <v>80</v>
      </c>
      <c r="M101" s="116" t="s">
        <v>87</v>
      </c>
      <c r="N101" s="224" t="s">
        <v>106</v>
      </c>
      <c r="O101" s="117">
        <v>3308900</v>
      </c>
      <c r="P101" s="117">
        <v>3087607.8</v>
      </c>
      <c r="Q101" s="7">
        <v>3308900</v>
      </c>
      <c r="R101" s="40">
        <f>3409510.4-24543.8+646384.82</f>
        <v>4031351.42</v>
      </c>
      <c r="S101" s="40">
        <v>3970000</v>
      </c>
      <c r="T101" s="40">
        <v>3970000</v>
      </c>
    </row>
    <row r="102" spans="1:20" x14ac:dyDescent="0.25">
      <c r="A102" s="266"/>
      <c r="B102" s="140"/>
      <c r="C102" s="4"/>
      <c r="D102" s="4"/>
      <c r="E102" s="140"/>
      <c r="F102" s="4"/>
      <c r="G102" s="4"/>
      <c r="H102" s="136"/>
      <c r="I102" s="3"/>
      <c r="J102" s="3"/>
      <c r="K102" s="28" t="s">
        <v>76</v>
      </c>
      <c r="L102" s="12" t="s">
        <v>88</v>
      </c>
      <c r="M102" s="116" t="s">
        <v>77</v>
      </c>
      <c r="N102" s="224" t="s">
        <v>106</v>
      </c>
      <c r="O102" s="117">
        <v>0</v>
      </c>
      <c r="P102" s="117">
        <v>0</v>
      </c>
      <c r="Q102" s="7">
        <v>1406500</v>
      </c>
      <c r="R102" s="40">
        <v>1400000</v>
      </c>
      <c r="S102" s="40">
        <v>400000</v>
      </c>
      <c r="T102" s="40">
        <v>400000</v>
      </c>
    </row>
    <row r="103" spans="1:20" x14ac:dyDescent="0.25">
      <c r="A103" s="266"/>
      <c r="B103" s="140"/>
      <c r="C103" s="4"/>
      <c r="D103" s="4"/>
      <c r="E103" s="140"/>
      <c r="F103" s="4"/>
      <c r="G103" s="4"/>
      <c r="H103" s="136"/>
      <c r="I103" s="3"/>
      <c r="J103" s="3"/>
      <c r="K103" s="28" t="s">
        <v>76</v>
      </c>
      <c r="L103" s="12" t="s">
        <v>88</v>
      </c>
      <c r="M103" s="116" t="s">
        <v>83</v>
      </c>
      <c r="N103" s="224" t="s">
        <v>106</v>
      </c>
      <c r="O103" s="117">
        <v>120292801</v>
      </c>
      <c r="P103" s="117">
        <v>120292801</v>
      </c>
      <c r="Q103" s="7">
        <v>130017305</v>
      </c>
      <c r="R103" s="40">
        <f>135916412.56+604794.82</f>
        <v>136521207.38</v>
      </c>
      <c r="S103" s="40">
        <v>130534000</v>
      </c>
      <c r="T103" s="40">
        <v>134534000</v>
      </c>
    </row>
    <row r="104" spans="1:20" x14ac:dyDescent="0.25">
      <c r="A104" s="266"/>
      <c r="B104" s="140"/>
      <c r="C104" s="4"/>
      <c r="D104" s="4"/>
      <c r="E104" s="140"/>
      <c r="F104" s="4"/>
      <c r="G104" s="4"/>
      <c r="H104" s="136"/>
      <c r="I104" s="3"/>
      <c r="J104" s="3"/>
      <c r="K104" s="28" t="s">
        <v>76</v>
      </c>
      <c r="L104" s="12" t="s">
        <v>88</v>
      </c>
      <c r="M104" s="116" t="s">
        <v>86</v>
      </c>
      <c r="N104" s="224" t="s">
        <v>106</v>
      </c>
      <c r="O104" s="117">
        <v>0</v>
      </c>
      <c r="P104" s="117">
        <v>0</v>
      </c>
      <c r="Q104" s="7">
        <v>479000</v>
      </c>
      <c r="R104" s="40">
        <v>479000</v>
      </c>
      <c r="S104" s="40">
        <v>479000</v>
      </c>
      <c r="T104" s="40">
        <v>479000</v>
      </c>
    </row>
    <row r="105" spans="1:20" x14ac:dyDescent="0.25">
      <c r="A105" s="266"/>
      <c r="B105" s="140"/>
      <c r="C105" s="4"/>
      <c r="D105" s="4"/>
      <c r="E105" s="140"/>
      <c r="F105" s="4"/>
      <c r="G105" s="4"/>
      <c r="H105" s="136"/>
      <c r="I105" s="3"/>
      <c r="J105" s="3"/>
      <c r="K105" s="28" t="s">
        <v>76</v>
      </c>
      <c r="L105" s="12" t="s">
        <v>76</v>
      </c>
      <c r="M105" s="116" t="s">
        <v>557</v>
      </c>
      <c r="N105" s="224" t="s">
        <v>106</v>
      </c>
      <c r="O105" s="117">
        <v>2326000</v>
      </c>
      <c r="P105" s="117">
        <v>2325750</v>
      </c>
      <c r="Q105" s="7">
        <v>2328900</v>
      </c>
      <c r="R105" s="40">
        <v>2033343</v>
      </c>
      <c r="S105" s="40">
        <v>2024245</v>
      </c>
      <c r="T105" s="40">
        <v>2024245</v>
      </c>
    </row>
    <row r="106" spans="1:20" x14ac:dyDescent="0.25">
      <c r="A106" s="266"/>
      <c r="B106" s="140"/>
      <c r="C106" s="4"/>
      <c r="D106" s="4"/>
      <c r="E106" s="140"/>
      <c r="F106" s="4"/>
      <c r="G106" s="4"/>
      <c r="H106" s="136"/>
      <c r="I106" s="3"/>
      <c r="J106" s="3"/>
      <c r="K106" s="28" t="s">
        <v>76</v>
      </c>
      <c r="L106" s="12" t="s">
        <v>76</v>
      </c>
      <c r="M106" s="116" t="s">
        <v>704</v>
      </c>
      <c r="N106" s="224" t="s">
        <v>106</v>
      </c>
      <c r="O106" s="117">
        <v>1662934.4</v>
      </c>
      <c r="P106" s="117">
        <v>1662136</v>
      </c>
      <c r="Q106" s="7">
        <v>1598400</v>
      </c>
      <c r="R106" s="40">
        <f>1598401.7-203223.3</f>
        <v>1395178.4</v>
      </c>
      <c r="S106" s="40">
        <v>1598400</v>
      </c>
      <c r="T106" s="40">
        <v>1598400</v>
      </c>
    </row>
    <row r="107" spans="1:20" x14ac:dyDescent="0.25">
      <c r="A107" s="266"/>
      <c r="B107" s="140"/>
      <c r="C107" s="4"/>
      <c r="D107" s="4"/>
      <c r="E107" s="140"/>
      <c r="F107" s="4"/>
      <c r="G107" s="4"/>
      <c r="H107" s="136"/>
      <c r="I107" s="3"/>
      <c r="J107" s="3"/>
      <c r="K107" s="28" t="s">
        <v>76</v>
      </c>
      <c r="L107" s="12" t="s">
        <v>76</v>
      </c>
      <c r="M107" s="116" t="s">
        <v>558</v>
      </c>
      <c r="N107" s="224" t="s">
        <v>106</v>
      </c>
      <c r="O107" s="117">
        <v>0</v>
      </c>
      <c r="P107" s="117">
        <v>0</v>
      </c>
      <c r="Q107" s="7">
        <v>0</v>
      </c>
      <c r="R107" s="40">
        <v>779000</v>
      </c>
      <c r="S107" s="40">
        <v>779000</v>
      </c>
      <c r="T107" s="40">
        <v>779000</v>
      </c>
    </row>
    <row r="108" spans="1:20" x14ac:dyDescent="0.25">
      <c r="A108" s="266"/>
      <c r="B108" s="140"/>
      <c r="C108" s="4"/>
      <c r="D108" s="4"/>
      <c r="E108" s="140"/>
      <c r="F108" s="4"/>
      <c r="G108" s="4"/>
      <c r="H108" s="136"/>
      <c r="I108" s="3"/>
      <c r="J108" s="3"/>
      <c r="K108" s="28" t="s">
        <v>76</v>
      </c>
      <c r="L108" s="12" t="s">
        <v>76</v>
      </c>
      <c r="M108" s="116" t="s">
        <v>90</v>
      </c>
      <c r="N108" s="224" t="s">
        <v>106</v>
      </c>
      <c r="O108" s="117">
        <v>4566470.49</v>
      </c>
      <c r="P108" s="117">
        <v>4566470.49</v>
      </c>
      <c r="Q108" s="7">
        <v>735039</v>
      </c>
      <c r="R108" s="40">
        <v>4970000</v>
      </c>
      <c r="S108" s="40">
        <v>970000</v>
      </c>
      <c r="T108" s="40">
        <v>970000</v>
      </c>
    </row>
    <row r="109" spans="1:20" x14ac:dyDescent="0.25">
      <c r="A109" s="266"/>
      <c r="B109" s="140"/>
      <c r="C109" s="4"/>
      <c r="D109" s="4"/>
      <c r="E109" s="140"/>
      <c r="F109" s="4"/>
      <c r="G109" s="4"/>
      <c r="H109" s="136"/>
      <c r="I109" s="3"/>
      <c r="J109" s="3"/>
      <c r="K109" s="28" t="s">
        <v>76</v>
      </c>
      <c r="L109" s="12" t="s">
        <v>76</v>
      </c>
      <c r="M109" s="116" t="s">
        <v>104</v>
      </c>
      <c r="N109" s="224" t="s">
        <v>57</v>
      </c>
      <c r="O109" s="117">
        <v>180000</v>
      </c>
      <c r="P109" s="117">
        <v>142442.6</v>
      </c>
      <c r="Q109" s="7">
        <v>180000</v>
      </c>
      <c r="R109" s="7">
        <v>180000</v>
      </c>
      <c r="S109" s="7">
        <v>180000</v>
      </c>
      <c r="T109" s="7">
        <v>180000</v>
      </c>
    </row>
    <row r="110" spans="1:20" x14ac:dyDescent="0.25">
      <c r="A110" s="266"/>
      <c r="B110" s="140"/>
      <c r="C110" s="4"/>
      <c r="D110" s="4"/>
      <c r="E110" s="140"/>
      <c r="F110" s="4"/>
      <c r="G110" s="4"/>
      <c r="H110" s="136"/>
      <c r="I110" s="3"/>
      <c r="J110" s="3"/>
      <c r="K110" s="28" t="s">
        <v>76</v>
      </c>
      <c r="L110" s="12" t="s">
        <v>76</v>
      </c>
      <c r="M110" s="116" t="s">
        <v>89</v>
      </c>
      <c r="N110" s="224" t="s">
        <v>62</v>
      </c>
      <c r="O110" s="117">
        <v>0</v>
      </c>
      <c r="P110" s="117">
        <v>0</v>
      </c>
      <c r="Q110" s="7">
        <v>0</v>
      </c>
      <c r="R110" s="40">
        <v>0</v>
      </c>
      <c r="S110" s="40">
        <v>3715600</v>
      </c>
      <c r="T110" s="40">
        <v>3715600</v>
      </c>
    </row>
    <row r="111" spans="1:20" x14ac:dyDescent="0.25">
      <c r="A111" s="266"/>
      <c r="B111" s="140"/>
      <c r="C111" s="4"/>
      <c r="D111" s="4"/>
      <c r="E111" s="140"/>
      <c r="F111" s="4"/>
      <c r="G111" s="4"/>
      <c r="H111" s="136"/>
      <c r="I111" s="3"/>
      <c r="J111" s="3"/>
      <c r="K111" s="28" t="s">
        <v>76</v>
      </c>
      <c r="L111" s="12" t="s">
        <v>91</v>
      </c>
      <c r="M111" s="116" t="s">
        <v>368</v>
      </c>
      <c r="N111" s="224" t="s">
        <v>106</v>
      </c>
      <c r="O111" s="117">
        <v>895000</v>
      </c>
      <c r="P111" s="117">
        <v>895000</v>
      </c>
      <c r="Q111" s="7">
        <v>0</v>
      </c>
      <c r="R111" s="40">
        <v>2353303.9700000002</v>
      </c>
      <c r="S111" s="40">
        <v>0</v>
      </c>
      <c r="T111" s="39">
        <v>0</v>
      </c>
    </row>
    <row r="112" spans="1:20" x14ac:dyDescent="0.25">
      <c r="A112" s="266"/>
      <c r="B112" s="140"/>
      <c r="C112" s="4"/>
      <c r="D112" s="4"/>
      <c r="E112" s="140"/>
      <c r="F112" s="4"/>
      <c r="G112" s="4"/>
      <c r="H112" s="136"/>
      <c r="I112" s="3"/>
      <c r="J112" s="3"/>
      <c r="K112" s="28" t="s">
        <v>76</v>
      </c>
      <c r="L112" s="12" t="s">
        <v>91</v>
      </c>
      <c r="M112" s="116" t="s">
        <v>92</v>
      </c>
      <c r="N112" s="224" t="s">
        <v>106</v>
      </c>
      <c r="O112" s="117">
        <v>400000</v>
      </c>
      <c r="P112" s="117">
        <v>400000</v>
      </c>
      <c r="Q112" s="7">
        <v>0</v>
      </c>
      <c r="R112" s="7">
        <v>915435.25</v>
      </c>
      <c r="S112" s="7">
        <v>0</v>
      </c>
      <c r="T112" s="7">
        <v>0</v>
      </c>
    </row>
    <row r="113" spans="1:20" x14ac:dyDescent="0.25">
      <c r="A113" s="266"/>
      <c r="B113" s="140"/>
      <c r="C113" s="4"/>
      <c r="D113" s="4"/>
      <c r="E113" s="140"/>
      <c r="F113" s="4"/>
      <c r="G113" s="4"/>
      <c r="H113" s="136"/>
      <c r="I113" s="3"/>
      <c r="J113" s="3"/>
      <c r="K113" s="28" t="s">
        <v>76</v>
      </c>
      <c r="L113" s="12" t="s">
        <v>91</v>
      </c>
      <c r="M113" s="116" t="s">
        <v>93</v>
      </c>
      <c r="N113" s="224" t="s">
        <v>106</v>
      </c>
      <c r="O113" s="117">
        <v>380500</v>
      </c>
      <c r="P113" s="117">
        <v>380486.22</v>
      </c>
      <c r="Q113" s="7">
        <v>190000</v>
      </c>
      <c r="R113" s="7">
        <v>290000</v>
      </c>
      <c r="S113" s="7">
        <v>290000</v>
      </c>
      <c r="T113" s="7">
        <v>290000</v>
      </c>
    </row>
    <row r="114" spans="1:20" x14ac:dyDescent="0.25">
      <c r="A114" s="266"/>
      <c r="B114" s="140"/>
      <c r="C114" s="4"/>
      <c r="D114" s="4"/>
      <c r="E114" s="140"/>
      <c r="F114" s="4"/>
      <c r="G114" s="4"/>
      <c r="H114" s="136"/>
      <c r="I114" s="3"/>
      <c r="J114" s="3"/>
      <c r="K114" s="28" t="s">
        <v>76</v>
      </c>
      <c r="L114" s="12" t="s">
        <v>91</v>
      </c>
      <c r="M114" s="116" t="s">
        <v>559</v>
      </c>
      <c r="N114" s="224" t="s">
        <v>106</v>
      </c>
      <c r="O114" s="117">
        <v>0</v>
      </c>
      <c r="P114" s="117">
        <v>0</v>
      </c>
      <c r="Q114" s="7">
        <v>24210.43</v>
      </c>
      <c r="R114" s="7">
        <v>24300</v>
      </c>
      <c r="S114" s="7">
        <v>24300</v>
      </c>
      <c r="T114" s="7">
        <v>24300</v>
      </c>
    </row>
    <row r="115" spans="1:20" x14ac:dyDescent="0.25">
      <c r="A115" s="266"/>
      <c r="B115" s="140"/>
      <c r="C115" s="4"/>
      <c r="D115" s="4"/>
      <c r="E115" s="140"/>
      <c r="F115" s="4"/>
      <c r="G115" s="4"/>
      <c r="H115" s="136"/>
      <c r="I115" s="3"/>
      <c r="J115" s="3"/>
      <c r="K115" s="28" t="s">
        <v>76</v>
      </c>
      <c r="L115" s="12" t="s">
        <v>91</v>
      </c>
      <c r="M115" s="116" t="s">
        <v>94</v>
      </c>
      <c r="N115" s="224" t="s">
        <v>106</v>
      </c>
      <c r="O115" s="117">
        <v>3133131.52</v>
      </c>
      <c r="P115" s="117">
        <v>3122617.71</v>
      </c>
      <c r="Q115" s="7">
        <v>2531136.7999999998</v>
      </c>
      <c r="R115" s="7">
        <v>2600000</v>
      </c>
      <c r="S115" s="7">
        <v>2600000</v>
      </c>
      <c r="T115" s="7">
        <v>2600000</v>
      </c>
    </row>
    <row r="116" spans="1:20" x14ac:dyDescent="0.25">
      <c r="A116" s="266"/>
      <c r="B116" s="140"/>
      <c r="C116" s="4"/>
      <c r="D116" s="4"/>
      <c r="E116" s="140"/>
      <c r="F116" s="4"/>
      <c r="G116" s="4"/>
      <c r="H116" s="136"/>
      <c r="I116" s="3"/>
      <c r="J116" s="3"/>
      <c r="K116" s="28" t="s">
        <v>76</v>
      </c>
      <c r="L116" s="12" t="s">
        <v>91</v>
      </c>
      <c r="M116" s="116" t="s">
        <v>95</v>
      </c>
      <c r="N116" s="224" t="s">
        <v>106</v>
      </c>
      <c r="O116" s="117">
        <v>1587040</v>
      </c>
      <c r="P116" s="117">
        <v>1587040</v>
      </c>
      <c r="Q116" s="7">
        <v>1200000</v>
      </c>
      <c r="R116" s="7">
        <v>1200000</v>
      </c>
      <c r="S116" s="7">
        <v>1200000</v>
      </c>
      <c r="T116" s="7">
        <v>1200000</v>
      </c>
    </row>
    <row r="117" spans="1:20" x14ac:dyDescent="0.25">
      <c r="A117" s="266"/>
      <c r="B117" s="140"/>
      <c r="C117" s="4"/>
      <c r="D117" s="4"/>
      <c r="E117" s="140"/>
      <c r="F117" s="4"/>
      <c r="G117" s="4"/>
      <c r="H117" s="136"/>
      <c r="I117" s="3"/>
      <c r="J117" s="3"/>
      <c r="K117" s="28" t="s">
        <v>76</v>
      </c>
      <c r="L117" s="12" t="s">
        <v>91</v>
      </c>
      <c r="M117" s="116" t="s">
        <v>105</v>
      </c>
      <c r="N117" s="224" t="s">
        <v>62</v>
      </c>
      <c r="O117" s="117">
        <v>100000</v>
      </c>
      <c r="P117" s="117">
        <v>99681.63</v>
      </c>
      <c r="Q117" s="7">
        <v>75789.570000000007</v>
      </c>
      <c r="R117" s="7">
        <v>75700</v>
      </c>
      <c r="S117" s="7">
        <v>75700</v>
      </c>
      <c r="T117" s="7">
        <v>75700</v>
      </c>
    </row>
    <row r="118" spans="1:20" x14ac:dyDescent="0.25">
      <c r="A118" s="266"/>
      <c r="B118" s="140"/>
      <c r="C118" s="4"/>
      <c r="D118" s="4"/>
      <c r="E118" s="140"/>
      <c r="F118" s="4"/>
      <c r="G118" s="4"/>
      <c r="H118" s="136"/>
      <c r="I118" s="3"/>
      <c r="J118" s="3"/>
      <c r="K118" s="28" t="s">
        <v>76</v>
      </c>
      <c r="L118" s="12" t="s">
        <v>91</v>
      </c>
      <c r="M118" s="116" t="s">
        <v>96</v>
      </c>
      <c r="N118" s="224" t="s">
        <v>106</v>
      </c>
      <c r="O118" s="117">
        <v>1277322.53</v>
      </c>
      <c r="P118" s="117">
        <v>1274921.42</v>
      </c>
      <c r="Q118" s="7">
        <v>1424712</v>
      </c>
      <c r="R118" s="7">
        <v>1200000</v>
      </c>
      <c r="S118" s="7">
        <v>400000</v>
      </c>
      <c r="T118" s="7">
        <v>400000</v>
      </c>
    </row>
    <row r="119" spans="1:20" x14ac:dyDescent="0.25">
      <c r="A119" s="266"/>
      <c r="B119" s="140"/>
      <c r="C119" s="4"/>
      <c r="D119" s="4"/>
      <c r="E119" s="140"/>
      <c r="F119" s="4"/>
      <c r="G119" s="4"/>
      <c r="H119" s="136"/>
      <c r="I119" s="3"/>
      <c r="J119" s="3"/>
      <c r="K119" s="28" t="s">
        <v>76</v>
      </c>
      <c r="L119" s="12" t="s">
        <v>91</v>
      </c>
      <c r="M119" s="116" t="s">
        <v>97</v>
      </c>
      <c r="N119" s="224" t="s">
        <v>106</v>
      </c>
      <c r="O119" s="117">
        <v>36849700</v>
      </c>
      <c r="P119" s="117">
        <v>36849700</v>
      </c>
      <c r="Q119" s="7">
        <v>35628462</v>
      </c>
      <c r="R119" s="7">
        <v>40007687.600000001</v>
      </c>
      <c r="S119" s="7">
        <v>35380500</v>
      </c>
      <c r="T119" s="7">
        <v>39380500</v>
      </c>
    </row>
    <row r="120" spans="1:20" x14ac:dyDescent="0.25">
      <c r="A120" s="266"/>
      <c r="B120" s="140"/>
      <c r="C120" s="4"/>
      <c r="D120" s="4"/>
      <c r="E120" s="140"/>
      <c r="F120" s="4"/>
      <c r="G120" s="4"/>
      <c r="H120" s="136"/>
      <c r="I120" s="3"/>
      <c r="J120" s="3"/>
      <c r="K120" s="28" t="s">
        <v>76</v>
      </c>
      <c r="L120" s="12" t="s">
        <v>91</v>
      </c>
      <c r="M120" s="116" t="s">
        <v>98</v>
      </c>
      <c r="N120" s="224" t="s">
        <v>106</v>
      </c>
      <c r="O120" s="117">
        <v>18186599</v>
      </c>
      <c r="P120" s="117">
        <v>18186599</v>
      </c>
      <c r="Q120" s="7">
        <v>19237831.82</v>
      </c>
      <c r="R120" s="7">
        <v>20087604.010000002</v>
      </c>
      <c r="S120" s="7">
        <v>16817900</v>
      </c>
      <c r="T120" s="7">
        <v>19817900</v>
      </c>
    </row>
    <row r="121" spans="1:20" x14ac:dyDescent="0.25">
      <c r="A121" s="266"/>
      <c r="B121" s="140"/>
      <c r="C121" s="4"/>
      <c r="D121" s="4"/>
      <c r="E121" s="140"/>
      <c r="F121" s="4"/>
      <c r="G121" s="4"/>
      <c r="H121" s="136"/>
      <c r="I121" s="3"/>
      <c r="J121" s="3"/>
      <c r="K121" s="28" t="s">
        <v>76</v>
      </c>
      <c r="L121" s="12" t="s">
        <v>91</v>
      </c>
      <c r="M121" s="116" t="s">
        <v>99</v>
      </c>
      <c r="N121" s="224" t="s">
        <v>106</v>
      </c>
      <c r="O121" s="117">
        <v>15876200</v>
      </c>
      <c r="P121" s="117">
        <v>15876120.859999999</v>
      </c>
      <c r="Q121" s="7">
        <v>15642751.57</v>
      </c>
      <c r="R121" s="7">
        <v>16550151.18</v>
      </c>
      <c r="S121" s="7">
        <v>15266300</v>
      </c>
      <c r="T121" s="7">
        <v>16266300</v>
      </c>
    </row>
    <row r="122" spans="1:20" x14ac:dyDescent="0.25">
      <c r="A122" s="266"/>
      <c r="B122" s="140"/>
      <c r="C122" s="4"/>
      <c r="D122" s="4"/>
      <c r="E122" s="140"/>
      <c r="F122" s="4"/>
      <c r="G122" s="4"/>
      <c r="H122" s="136"/>
      <c r="I122" s="3"/>
      <c r="J122" s="3"/>
      <c r="K122" s="28" t="s">
        <v>76</v>
      </c>
      <c r="L122" s="12" t="s">
        <v>91</v>
      </c>
      <c r="M122" s="116" t="s">
        <v>100</v>
      </c>
      <c r="N122" s="224" t="s">
        <v>106</v>
      </c>
      <c r="O122" s="117">
        <v>571965.66</v>
      </c>
      <c r="P122" s="117">
        <v>571965.66</v>
      </c>
      <c r="Q122" s="7">
        <v>435000</v>
      </c>
      <c r="R122" s="40">
        <v>580000</v>
      </c>
      <c r="S122" s="40">
        <v>180000</v>
      </c>
      <c r="T122" s="40">
        <v>180000</v>
      </c>
    </row>
    <row r="123" spans="1:20" x14ac:dyDescent="0.25">
      <c r="A123" s="266"/>
      <c r="B123" s="140"/>
      <c r="C123" s="4"/>
      <c r="D123" s="4"/>
      <c r="E123" s="140"/>
      <c r="F123" s="4"/>
      <c r="G123" s="4"/>
      <c r="H123" s="136"/>
      <c r="I123" s="3"/>
      <c r="J123" s="3"/>
      <c r="K123" s="28" t="s">
        <v>76</v>
      </c>
      <c r="L123" s="12" t="s">
        <v>91</v>
      </c>
      <c r="M123" s="116" t="s">
        <v>101</v>
      </c>
      <c r="N123" s="224" t="s">
        <v>106</v>
      </c>
      <c r="O123" s="117">
        <v>33098465.600000001</v>
      </c>
      <c r="P123" s="117">
        <v>33098465.600000001</v>
      </c>
      <c r="Q123" s="7">
        <v>32963000</v>
      </c>
      <c r="R123" s="7">
        <f>33252210+83510.92-1251179.64</f>
        <v>32084541.280000001</v>
      </c>
      <c r="S123" s="7">
        <v>28163000</v>
      </c>
      <c r="T123" s="7">
        <v>28163000</v>
      </c>
    </row>
    <row r="124" spans="1:20" x14ac:dyDescent="0.25">
      <c r="A124" s="266"/>
      <c r="B124" s="140"/>
      <c r="C124" s="4"/>
      <c r="D124" s="4"/>
      <c r="E124" s="140"/>
      <c r="F124" s="4"/>
      <c r="G124" s="4"/>
      <c r="H124" s="136"/>
      <c r="I124" s="3"/>
      <c r="J124" s="3"/>
      <c r="K124" s="28" t="s">
        <v>121</v>
      </c>
      <c r="L124" s="12" t="s">
        <v>122</v>
      </c>
      <c r="M124" s="238" t="s">
        <v>539</v>
      </c>
      <c r="N124" s="224" t="s">
        <v>106</v>
      </c>
      <c r="O124" s="117">
        <v>0</v>
      </c>
      <c r="P124" s="117">
        <v>0</v>
      </c>
      <c r="Q124" s="7">
        <v>0</v>
      </c>
      <c r="R124" s="7">
        <v>659683.16</v>
      </c>
      <c r="S124" s="7">
        <v>0</v>
      </c>
      <c r="T124" s="7">
        <v>0</v>
      </c>
    </row>
    <row r="125" spans="1:20" x14ac:dyDescent="0.25">
      <c r="A125" s="266"/>
      <c r="B125" s="140"/>
      <c r="C125" s="4"/>
      <c r="D125" s="4"/>
      <c r="E125" s="140"/>
      <c r="F125" s="4"/>
      <c r="G125" s="4"/>
      <c r="H125" s="136"/>
      <c r="I125" s="3"/>
      <c r="J125" s="3"/>
      <c r="K125" s="28" t="s">
        <v>121</v>
      </c>
      <c r="L125" s="12" t="s">
        <v>122</v>
      </c>
      <c r="M125" s="116" t="s">
        <v>125</v>
      </c>
      <c r="N125" s="224" t="s">
        <v>106</v>
      </c>
      <c r="O125" s="117">
        <v>0</v>
      </c>
      <c r="P125" s="117">
        <v>0</v>
      </c>
      <c r="Q125" s="7">
        <v>0</v>
      </c>
      <c r="R125" s="7">
        <v>420100</v>
      </c>
      <c r="S125" s="7">
        <v>0</v>
      </c>
      <c r="T125" s="7">
        <v>0</v>
      </c>
    </row>
    <row r="126" spans="1:20" x14ac:dyDescent="0.25">
      <c r="A126" s="266"/>
      <c r="B126" s="140"/>
      <c r="C126" s="4"/>
      <c r="D126" s="4"/>
      <c r="E126" s="140"/>
      <c r="F126" s="4"/>
      <c r="G126" s="4"/>
      <c r="H126" s="136"/>
      <c r="I126" s="3"/>
      <c r="J126" s="3"/>
      <c r="K126" s="28" t="s">
        <v>121</v>
      </c>
      <c r="L126" s="12" t="s">
        <v>122</v>
      </c>
      <c r="M126" s="116" t="s">
        <v>102</v>
      </c>
      <c r="N126" s="224" t="s">
        <v>106</v>
      </c>
      <c r="O126" s="117">
        <v>150000</v>
      </c>
      <c r="P126" s="117">
        <v>150000</v>
      </c>
      <c r="Q126" s="7">
        <v>790000</v>
      </c>
      <c r="R126" s="40">
        <v>559000</v>
      </c>
      <c r="S126" s="40">
        <v>813000</v>
      </c>
      <c r="T126" s="40">
        <v>0</v>
      </c>
    </row>
    <row r="127" spans="1:20" x14ac:dyDescent="0.25">
      <c r="A127" s="266"/>
      <c r="B127" s="140"/>
      <c r="C127" s="4"/>
      <c r="D127" s="4"/>
      <c r="E127" s="140"/>
      <c r="F127" s="4"/>
      <c r="G127" s="4"/>
      <c r="H127" s="136"/>
      <c r="I127" s="3"/>
      <c r="J127" s="3"/>
      <c r="K127" s="78" t="s">
        <v>76</v>
      </c>
      <c r="L127" s="79" t="s">
        <v>88</v>
      </c>
      <c r="M127" s="116" t="s">
        <v>114</v>
      </c>
      <c r="N127" s="224" t="s">
        <v>106</v>
      </c>
      <c r="O127" s="117">
        <v>1736426.88</v>
      </c>
      <c r="P127" s="117">
        <v>1736426.88</v>
      </c>
      <c r="Q127" s="41">
        <v>1500000</v>
      </c>
      <c r="R127" s="41">
        <v>1820000</v>
      </c>
      <c r="S127" s="41">
        <v>320000</v>
      </c>
      <c r="T127" s="41">
        <v>320000</v>
      </c>
    </row>
    <row r="128" spans="1:20" x14ac:dyDescent="0.25">
      <c r="A128" s="266"/>
      <c r="B128" s="140"/>
      <c r="C128" s="4"/>
      <c r="D128" s="4"/>
      <c r="E128" s="140"/>
      <c r="F128" s="4"/>
      <c r="G128" s="4"/>
      <c r="H128" s="136"/>
      <c r="I128" s="3"/>
      <c r="J128" s="3"/>
      <c r="K128" s="97" t="s">
        <v>76</v>
      </c>
      <c r="L128" s="97" t="s">
        <v>88</v>
      </c>
      <c r="M128" s="116" t="s">
        <v>560</v>
      </c>
      <c r="N128" s="224" t="s">
        <v>106</v>
      </c>
      <c r="O128" s="117">
        <v>2784400</v>
      </c>
      <c r="P128" s="117">
        <v>2784400</v>
      </c>
      <c r="Q128" s="7">
        <v>2654800</v>
      </c>
      <c r="R128" s="7">
        <v>1945117</v>
      </c>
      <c r="S128" s="7">
        <v>2032453</v>
      </c>
      <c r="T128" s="7">
        <v>2124102</v>
      </c>
    </row>
    <row r="129" spans="1:20" x14ac:dyDescent="0.25">
      <c r="A129" s="266"/>
      <c r="B129" s="140"/>
      <c r="C129" s="4"/>
      <c r="D129" s="4"/>
      <c r="E129" s="140"/>
      <c r="F129" s="4"/>
      <c r="G129" s="4"/>
      <c r="H129" s="136"/>
      <c r="I129" s="3"/>
      <c r="J129" s="3"/>
      <c r="K129" s="28" t="s">
        <v>76</v>
      </c>
      <c r="L129" s="12" t="s">
        <v>88</v>
      </c>
      <c r="M129" s="116" t="s">
        <v>561</v>
      </c>
      <c r="N129" s="224" t="s">
        <v>106</v>
      </c>
      <c r="O129" s="117">
        <v>146600</v>
      </c>
      <c r="P129" s="117">
        <v>146600</v>
      </c>
      <c r="Q129" s="7">
        <v>139800</v>
      </c>
      <c r="R129" s="7">
        <v>139800</v>
      </c>
      <c r="S129" s="7">
        <v>157900</v>
      </c>
      <c r="T129" s="7">
        <v>157900</v>
      </c>
    </row>
    <row r="130" spans="1:20" x14ac:dyDescent="0.25">
      <c r="A130" s="266"/>
      <c r="B130" s="140"/>
      <c r="C130" s="4"/>
      <c r="D130" s="4"/>
      <c r="E130" s="140"/>
      <c r="F130" s="4"/>
      <c r="G130" s="4"/>
      <c r="H130" s="136"/>
      <c r="I130" s="3"/>
      <c r="J130" s="3"/>
      <c r="K130" s="42" t="s">
        <v>76</v>
      </c>
      <c r="L130" s="43" t="s">
        <v>88</v>
      </c>
      <c r="M130" s="116" t="s">
        <v>113</v>
      </c>
      <c r="N130" s="224" t="s">
        <v>106</v>
      </c>
      <c r="O130" s="117">
        <v>90611504.200000003</v>
      </c>
      <c r="P130" s="117">
        <v>90611504.200000003</v>
      </c>
      <c r="Q130" s="41">
        <v>95241647.700000003</v>
      </c>
      <c r="R130" s="41">
        <f>98590439.98-6128.61</f>
        <v>98584311.370000005</v>
      </c>
      <c r="S130" s="41">
        <v>95653566.849999994</v>
      </c>
      <c r="T130" s="41">
        <v>98153566.849999994</v>
      </c>
    </row>
    <row r="131" spans="1:20" x14ac:dyDescent="0.25">
      <c r="A131" s="266"/>
      <c r="B131" s="140"/>
      <c r="C131" s="4"/>
      <c r="D131" s="4"/>
      <c r="E131" s="140"/>
      <c r="F131" s="4"/>
      <c r="G131" s="4"/>
      <c r="H131" s="136"/>
      <c r="I131" s="3"/>
      <c r="J131" s="3"/>
      <c r="K131" s="42" t="s">
        <v>76</v>
      </c>
      <c r="L131" s="43" t="s">
        <v>88</v>
      </c>
      <c r="M131" s="116" t="s">
        <v>112</v>
      </c>
      <c r="N131" s="224" t="s">
        <v>106</v>
      </c>
      <c r="O131" s="117">
        <v>144664</v>
      </c>
      <c r="P131" s="117">
        <v>144664</v>
      </c>
      <c r="Q131" s="41">
        <v>0</v>
      </c>
      <c r="R131" s="41">
        <v>0</v>
      </c>
      <c r="S131" s="41">
        <v>0</v>
      </c>
      <c r="T131" s="41">
        <v>0</v>
      </c>
    </row>
    <row r="132" spans="1:20" x14ac:dyDescent="0.25">
      <c r="A132" s="266"/>
      <c r="B132" s="140"/>
      <c r="C132" s="4"/>
      <c r="D132" s="4"/>
      <c r="E132" s="140"/>
      <c r="F132" s="4"/>
      <c r="G132" s="4"/>
      <c r="H132" s="136"/>
      <c r="I132" s="3"/>
      <c r="J132" s="3"/>
      <c r="K132" s="42" t="s">
        <v>76</v>
      </c>
      <c r="L132" s="43" t="s">
        <v>88</v>
      </c>
      <c r="M132" s="116" t="s">
        <v>562</v>
      </c>
      <c r="N132" s="224" t="s">
        <v>106</v>
      </c>
      <c r="O132" s="117">
        <v>0</v>
      </c>
      <c r="P132" s="117">
        <v>0</v>
      </c>
      <c r="Q132" s="41">
        <v>0</v>
      </c>
      <c r="R132" s="41">
        <v>1200000</v>
      </c>
      <c r="S132" s="41">
        <v>0</v>
      </c>
      <c r="T132" s="41">
        <v>0</v>
      </c>
    </row>
    <row r="133" spans="1:20" x14ac:dyDescent="0.25">
      <c r="A133" s="266"/>
      <c r="B133" s="140"/>
      <c r="C133" s="4"/>
      <c r="D133" s="4"/>
      <c r="E133" s="140"/>
      <c r="F133" s="4"/>
      <c r="G133" s="4"/>
      <c r="H133" s="136"/>
      <c r="I133" s="3"/>
      <c r="J133" s="3"/>
      <c r="K133" s="28" t="s">
        <v>76</v>
      </c>
      <c r="L133" s="12" t="s">
        <v>91</v>
      </c>
      <c r="M133" s="116" t="s">
        <v>536</v>
      </c>
      <c r="N133" s="224" t="s">
        <v>106</v>
      </c>
      <c r="O133" s="117">
        <v>149000</v>
      </c>
      <c r="P133" s="117">
        <v>149000</v>
      </c>
      <c r="Q133" s="7">
        <v>144000</v>
      </c>
      <c r="R133" s="7">
        <v>144000</v>
      </c>
      <c r="S133" s="7">
        <v>144000</v>
      </c>
      <c r="T133" s="7">
        <v>144000</v>
      </c>
    </row>
    <row r="134" spans="1:20" x14ac:dyDescent="0.25">
      <c r="A134" s="266"/>
      <c r="B134" s="140"/>
      <c r="C134" s="4"/>
      <c r="D134" s="4"/>
      <c r="E134" s="140"/>
      <c r="F134" s="4"/>
      <c r="G134" s="4"/>
      <c r="H134" s="136"/>
      <c r="I134" s="3"/>
      <c r="J134" s="3"/>
      <c r="K134" s="28" t="s">
        <v>76</v>
      </c>
      <c r="L134" s="12" t="s">
        <v>54</v>
      </c>
      <c r="M134" s="9" t="s">
        <v>537</v>
      </c>
      <c r="N134" s="12" t="s">
        <v>108</v>
      </c>
      <c r="O134" s="7">
        <v>15000000</v>
      </c>
      <c r="P134" s="7">
        <v>15000000</v>
      </c>
      <c r="Q134" s="7">
        <v>0</v>
      </c>
      <c r="R134" s="7">
        <v>0</v>
      </c>
      <c r="S134" s="7">
        <v>0</v>
      </c>
      <c r="T134" s="7">
        <v>0</v>
      </c>
    </row>
    <row r="135" spans="1:20" x14ac:dyDescent="0.25">
      <c r="A135" s="266"/>
      <c r="B135" s="140"/>
      <c r="C135" s="4"/>
      <c r="D135" s="4"/>
      <c r="E135" s="140"/>
      <c r="F135" s="4"/>
      <c r="G135" s="4"/>
      <c r="H135" s="136"/>
      <c r="I135" s="3"/>
      <c r="J135" s="3"/>
      <c r="K135" s="42" t="s">
        <v>76</v>
      </c>
      <c r="L135" s="43" t="s">
        <v>54</v>
      </c>
      <c r="M135" s="43" t="s">
        <v>215</v>
      </c>
      <c r="N135" s="43" t="s">
        <v>108</v>
      </c>
      <c r="O135" s="44">
        <v>107636559.53</v>
      </c>
      <c r="P135" s="44">
        <v>19631664.640000001</v>
      </c>
      <c r="Q135" s="44">
        <f>184316973.95+7581790</f>
        <v>191898763.94999999</v>
      </c>
      <c r="R135" s="44">
        <f>25700000+13600000</f>
        <v>39300000</v>
      </c>
      <c r="S135" s="44">
        <v>0</v>
      </c>
      <c r="T135" s="44">
        <v>0</v>
      </c>
    </row>
    <row r="136" spans="1:20" x14ac:dyDescent="0.25">
      <c r="A136" s="266"/>
      <c r="B136" s="140"/>
      <c r="C136" s="4"/>
      <c r="D136" s="4"/>
      <c r="E136" s="140"/>
      <c r="F136" s="4"/>
      <c r="G136" s="4"/>
      <c r="H136" s="136"/>
      <c r="I136" s="3"/>
      <c r="J136" s="3"/>
      <c r="K136" s="42" t="s">
        <v>76</v>
      </c>
      <c r="L136" s="43" t="s">
        <v>80</v>
      </c>
      <c r="M136" s="9" t="s">
        <v>537</v>
      </c>
      <c r="N136" s="43" t="s">
        <v>108</v>
      </c>
      <c r="O136" s="44">
        <v>0</v>
      </c>
      <c r="P136" s="44">
        <v>0</v>
      </c>
      <c r="Q136" s="44">
        <v>0</v>
      </c>
      <c r="R136" s="44">
        <v>48880000</v>
      </c>
      <c r="S136" s="44">
        <v>0</v>
      </c>
      <c r="T136" s="44">
        <v>0</v>
      </c>
    </row>
    <row r="137" spans="1:20" x14ac:dyDescent="0.25">
      <c r="A137" s="266"/>
      <c r="B137" s="140"/>
      <c r="C137" s="4"/>
      <c r="D137" s="4"/>
      <c r="E137" s="140"/>
      <c r="F137" s="4"/>
      <c r="G137" s="4"/>
      <c r="H137" s="136"/>
      <c r="I137" s="3"/>
      <c r="J137" s="3"/>
      <c r="K137" s="42" t="s">
        <v>76</v>
      </c>
      <c r="L137" s="43" t="s">
        <v>80</v>
      </c>
      <c r="M137" s="43" t="s">
        <v>215</v>
      </c>
      <c r="N137" s="43" t="s">
        <v>108</v>
      </c>
      <c r="O137" s="44">
        <v>0</v>
      </c>
      <c r="P137" s="44">
        <v>0</v>
      </c>
      <c r="Q137" s="44">
        <v>0</v>
      </c>
      <c r="R137" s="44">
        <f>51147541-20027541</f>
        <v>31120000</v>
      </c>
      <c r="S137" s="44">
        <v>0</v>
      </c>
      <c r="T137" s="44">
        <v>0</v>
      </c>
    </row>
    <row r="138" spans="1:20" x14ac:dyDescent="0.25">
      <c r="A138" s="266"/>
      <c r="B138" s="140"/>
      <c r="C138" s="4"/>
      <c r="D138" s="4"/>
      <c r="E138" s="140"/>
      <c r="F138" s="4"/>
      <c r="G138" s="4"/>
      <c r="H138" s="136"/>
      <c r="I138" s="3"/>
      <c r="J138" s="3"/>
      <c r="K138" s="42" t="s">
        <v>76</v>
      </c>
      <c r="L138" s="43" t="s">
        <v>54</v>
      </c>
      <c r="M138" s="43" t="s">
        <v>370</v>
      </c>
      <c r="N138" s="43" t="s">
        <v>108</v>
      </c>
      <c r="O138" s="44">
        <v>5945566.0899999999</v>
      </c>
      <c r="P138" s="44">
        <v>5945566.0899999999</v>
      </c>
      <c r="Q138" s="44">
        <v>0</v>
      </c>
      <c r="R138" s="44">
        <v>0</v>
      </c>
      <c r="S138" s="44">
        <v>0</v>
      </c>
      <c r="T138" s="44">
        <v>0</v>
      </c>
    </row>
    <row r="139" spans="1:20" x14ac:dyDescent="0.25">
      <c r="A139" s="266"/>
      <c r="B139" s="140"/>
      <c r="C139" s="4"/>
      <c r="D139" s="4"/>
      <c r="E139" s="140"/>
      <c r="F139" s="4"/>
      <c r="G139" s="4"/>
      <c r="H139" s="136"/>
      <c r="I139" s="3"/>
      <c r="J139" s="3"/>
      <c r="K139" s="28" t="s">
        <v>76</v>
      </c>
      <c r="L139" s="12" t="s">
        <v>54</v>
      </c>
      <c r="M139" s="43" t="s">
        <v>370</v>
      </c>
      <c r="N139" s="12" t="s">
        <v>68</v>
      </c>
      <c r="O139" s="7">
        <v>549699.98</v>
      </c>
      <c r="P139" s="7">
        <v>549699.98</v>
      </c>
      <c r="Q139" s="7">
        <v>0</v>
      </c>
      <c r="R139" s="7">
        <v>0</v>
      </c>
      <c r="S139" s="7">
        <v>0</v>
      </c>
      <c r="T139" s="7">
        <v>0</v>
      </c>
    </row>
    <row r="140" spans="1:20" ht="49.5" x14ac:dyDescent="0.25">
      <c r="A140" s="266" t="s">
        <v>23</v>
      </c>
      <c r="B140" s="134" t="s">
        <v>372</v>
      </c>
      <c r="C140" s="129" t="s">
        <v>428</v>
      </c>
      <c r="D140" s="129" t="s">
        <v>374</v>
      </c>
      <c r="E140" s="182" t="s">
        <v>433</v>
      </c>
      <c r="F140" s="163" t="s">
        <v>434</v>
      </c>
      <c r="G140" s="163" t="s">
        <v>435</v>
      </c>
      <c r="H140" s="136" t="s">
        <v>243</v>
      </c>
      <c r="I140" s="3" t="s">
        <v>263</v>
      </c>
      <c r="J140" s="3" t="s">
        <v>300</v>
      </c>
      <c r="K140" s="28"/>
      <c r="L140" s="12"/>
      <c r="M140" s="12"/>
      <c r="N140" s="12"/>
      <c r="O140" s="86">
        <f t="shared" ref="O140:T140" si="10">SUM(O141:O148)</f>
        <v>62892118</v>
      </c>
      <c r="P140" s="86">
        <f t="shared" si="10"/>
        <v>62892118</v>
      </c>
      <c r="Q140" s="86">
        <f t="shared" si="10"/>
        <v>67795625.099999994</v>
      </c>
      <c r="R140" s="86">
        <f t="shared" si="10"/>
        <v>75962716.469999999</v>
      </c>
      <c r="S140" s="86">
        <f t="shared" si="10"/>
        <v>70007834.469999999</v>
      </c>
      <c r="T140" s="86">
        <f t="shared" si="10"/>
        <v>75023593.469999999</v>
      </c>
    </row>
    <row r="141" spans="1:20" ht="82.5" x14ac:dyDescent="0.25">
      <c r="A141" s="266"/>
      <c r="B141" s="137" t="s">
        <v>429</v>
      </c>
      <c r="C141" s="131" t="s">
        <v>430</v>
      </c>
      <c r="D141" s="131" t="s">
        <v>431</v>
      </c>
      <c r="E141" s="139" t="s">
        <v>388</v>
      </c>
      <c r="F141" s="132" t="s">
        <v>380</v>
      </c>
      <c r="G141" s="132" t="s">
        <v>389</v>
      </c>
      <c r="H141" s="136" t="s">
        <v>305</v>
      </c>
      <c r="I141" s="3" t="s">
        <v>126</v>
      </c>
      <c r="J141" s="3" t="s">
        <v>250</v>
      </c>
      <c r="K141" s="28" t="s">
        <v>118</v>
      </c>
      <c r="L141" s="12" t="s">
        <v>54</v>
      </c>
      <c r="M141" s="12" t="s">
        <v>123</v>
      </c>
      <c r="N141" s="12" t="s">
        <v>106</v>
      </c>
      <c r="O141" s="117">
        <v>60584684.219999999</v>
      </c>
      <c r="P141" s="117">
        <v>60584684.219999999</v>
      </c>
      <c r="Q141" s="7">
        <v>65819012.600000001</v>
      </c>
      <c r="R141" s="7">
        <f>74078043.05-47743.05</f>
        <v>74030300</v>
      </c>
      <c r="S141" s="7">
        <v>68754800</v>
      </c>
      <c r="T141" s="87">
        <v>73754800</v>
      </c>
    </row>
    <row r="142" spans="1:20" ht="66" x14ac:dyDescent="0.25">
      <c r="A142" s="266"/>
      <c r="B142" s="138" t="s">
        <v>418</v>
      </c>
      <c r="C142" s="131" t="s">
        <v>380</v>
      </c>
      <c r="D142" s="131" t="s">
        <v>419</v>
      </c>
      <c r="E142" s="182" t="s">
        <v>397</v>
      </c>
      <c r="F142" s="163" t="s">
        <v>398</v>
      </c>
      <c r="G142" s="163" t="s">
        <v>399</v>
      </c>
      <c r="H142" s="145" t="s">
        <v>116</v>
      </c>
      <c r="I142" s="3" t="s">
        <v>117</v>
      </c>
      <c r="J142" s="26" t="s">
        <v>319</v>
      </c>
      <c r="K142" s="28" t="s">
        <v>118</v>
      </c>
      <c r="L142" s="12" t="s">
        <v>54</v>
      </c>
      <c r="M142" s="12" t="s">
        <v>124</v>
      </c>
      <c r="N142" s="12" t="s">
        <v>106</v>
      </c>
      <c r="O142" s="117">
        <v>942048.28</v>
      </c>
      <c r="P142" s="117">
        <v>942048.28</v>
      </c>
      <c r="Q142" s="7">
        <v>950000</v>
      </c>
      <c r="R142" s="7">
        <v>1000000</v>
      </c>
      <c r="S142" s="7">
        <v>300000</v>
      </c>
      <c r="T142" s="87">
        <v>300000</v>
      </c>
    </row>
    <row r="143" spans="1:20" ht="57.75" x14ac:dyDescent="0.25">
      <c r="A143" s="266"/>
      <c r="B143" s="169" t="s">
        <v>432</v>
      </c>
      <c r="C143" s="127" t="s">
        <v>380</v>
      </c>
      <c r="D143" s="127" t="s">
        <v>427</v>
      </c>
      <c r="E143" s="124"/>
      <c r="F143" s="181"/>
      <c r="G143" s="181"/>
      <c r="H143" s="149" t="s">
        <v>310</v>
      </c>
      <c r="I143" s="98" t="s">
        <v>126</v>
      </c>
      <c r="J143" s="3" t="s">
        <v>250</v>
      </c>
      <c r="K143" s="28" t="s">
        <v>118</v>
      </c>
      <c r="L143" s="12" t="s">
        <v>54</v>
      </c>
      <c r="M143" s="12" t="s">
        <v>563</v>
      </c>
      <c r="N143" s="12" t="s">
        <v>106</v>
      </c>
      <c r="O143" s="117">
        <v>23300</v>
      </c>
      <c r="P143" s="117">
        <v>23300</v>
      </c>
      <c r="Q143" s="7">
        <v>24100</v>
      </c>
      <c r="R143" s="7">
        <v>23700</v>
      </c>
      <c r="S143" s="7">
        <v>29300</v>
      </c>
      <c r="T143" s="87">
        <v>29300</v>
      </c>
    </row>
    <row r="144" spans="1:20" ht="41.25" x14ac:dyDescent="0.25">
      <c r="A144" s="266"/>
      <c r="B144" s="187"/>
      <c r="C144" s="188"/>
      <c r="D144" s="188"/>
      <c r="E144" s="189"/>
      <c r="F144" s="181"/>
      <c r="G144" s="181"/>
      <c r="H144" s="149" t="s">
        <v>128</v>
      </c>
      <c r="I144" s="98" t="s">
        <v>129</v>
      </c>
      <c r="J144" s="3" t="s">
        <v>250</v>
      </c>
      <c r="K144" s="28" t="s">
        <v>118</v>
      </c>
      <c r="L144" s="12" t="s">
        <v>54</v>
      </c>
      <c r="M144" s="116" t="s">
        <v>564</v>
      </c>
      <c r="N144" s="224" t="s">
        <v>106</v>
      </c>
      <c r="O144" s="117">
        <v>441800</v>
      </c>
      <c r="P144" s="117">
        <v>441800</v>
      </c>
      <c r="Q144" s="7">
        <v>456500</v>
      </c>
      <c r="R144" s="7">
        <v>334468</v>
      </c>
      <c r="S144" s="7">
        <v>349486</v>
      </c>
      <c r="T144" s="87">
        <v>365245</v>
      </c>
    </row>
    <row r="145" spans="1:20" ht="41.25" x14ac:dyDescent="0.25">
      <c r="A145" s="266"/>
      <c r="B145" s="187"/>
      <c r="C145" s="188"/>
      <c r="D145" s="188"/>
      <c r="E145" s="189"/>
      <c r="F145" s="181"/>
      <c r="G145" s="181"/>
      <c r="H145" s="136" t="s">
        <v>262</v>
      </c>
      <c r="I145" s="3" t="s">
        <v>49</v>
      </c>
      <c r="J145" s="3" t="s">
        <v>308</v>
      </c>
      <c r="K145" s="28" t="s">
        <v>118</v>
      </c>
      <c r="L145" s="12" t="s">
        <v>54</v>
      </c>
      <c r="M145" s="116" t="s">
        <v>565</v>
      </c>
      <c r="N145" s="224" t="s">
        <v>106</v>
      </c>
      <c r="O145" s="117">
        <v>17582</v>
      </c>
      <c r="P145" s="117">
        <v>17582</v>
      </c>
      <c r="Q145" s="7">
        <v>46012.5</v>
      </c>
      <c r="R145" s="7">
        <v>24248.47</v>
      </c>
      <c r="S145" s="7">
        <v>24248.47</v>
      </c>
      <c r="T145" s="87">
        <v>24248.47</v>
      </c>
    </row>
    <row r="146" spans="1:20" x14ac:dyDescent="0.25">
      <c r="A146" s="266"/>
      <c r="B146" s="187"/>
      <c r="C146" s="188"/>
      <c r="D146" s="188"/>
      <c r="E146" s="189"/>
      <c r="F146" s="181"/>
      <c r="G146" s="181"/>
      <c r="H146" s="142"/>
      <c r="I146" s="22"/>
      <c r="J146" s="22"/>
      <c r="K146" s="28" t="s">
        <v>118</v>
      </c>
      <c r="L146" s="12" t="s">
        <v>54</v>
      </c>
      <c r="M146" s="116" t="s">
        <v>566</v>
      </c>
      <c r="N146" s="224" t="s">
        <v>106</v>
      </c>
      <c r="O146" s="117">
        <v>0</v>
      </c>
      <c r="P146" s="117">
        <v>0</v>
      </c>
      <c r="Q146" s="7">
        <v>500000</v>
      </c>
      <c r="R146" s="7">
        <v>550000</v>
      </c>
      <c r="S146" s="7">
        <v>550000</v>
      </c>
      <c r="T146" s="87">
        <v>550000</v>
      </c>
    </row>
    <row r="147" spans="1:20" x14ac:dyDescent="0.25">
      <c r="A147" s="266"/>
      <c r="B147" s="140"/>
      <c r="C147" s="4"/>
      <c r="D147" s="4"/>
      <c r="E147" s="141"/>
      <c r="F147" s="5"/>
      <c r="G147" s="5"/>
      <c r="H147" s="190"/>
      <c r="I147" s="190"/>
      <c r="J147" s="190"/>
      <c r="K147" s="28" t="s">
        <v>118</v>
      </c>
      <c r="L147" s="12" t="s">
        <v>54</v>
      </c>
      <c r="M147" s="116" t="s">
        <v>119</v>
      </c>
      <c r="N147" s="224" t="s">
        <v>106</v>
      </c>
      <c r="O147" s="117">
        <v>582703.5</v>
      </c>
      <c r="P147" s="117">
        <v>582703.5</v>
      </c>
      <c r="Q147" s="7">
        <v>0</v>
      </c>
      <c r="R147" s="7">
        <v>0</v>
      </c>
      <c r="S147" s="7">
        <v>0</v>
      </c>
      <c r="T147" s="7">
        <v>0</v>
      </c>
    </row>
    <row r="148" spans="1:20" x14ac:dyDescent="0.25">
      <c r="A148" s="266"/>
      <c r="B148" s="140"/>
      <c r="C148" s="4"/>
      <c r="D148" s="4"/>
      <c r="E148" s="141"/>
      <c r="F148" s="5"/>
      <c r="G148" s="5"/>
      <c r="H148" s="190"/>
      <c r="I148" s="190"/>
      <c r="J148" s="190"/>
      <c r="K148" s="28" t="s">
        <v>118</v>
      </c>
      <c r="L148" s="12" t="s">
        <v>54</v>
      </c>
      <c r="M148" s="116" t="s">
        <v>120</v>
      </c>
      <c r="N148" s="224" t="s">
        <v>106</v>
      </c>
      <c r="O148" s="117">
        <v>300000</v>
      </c>
      <c r="P148" s="117">
        <v>300000</v>
      </c>
      <c r="Q148" s="7">
        <v>0</v>
      </c>
      <c r="R148" s="7">
        <v>0</v>
      </c>
      <c r="S148" s="7">
        <v>0</v>
      </c>
      <c r="T148" s="7">
        <v>0</v>
      </c>
    </row>
    <row r="149" spans="1:20" ht="49.5" x14ac:dyDescent="0.25">
      <c r="A149" s="266" t="s">
        <v>24</v>
      </c>
      <c r="B149" s="134" t="s">
        <v>372</v>
      </c>
      <c r="C149" s="129" t="s">
        <v>436</v>
      </c>
      <c r="D149" s="129" t="s">
        <v>374</v>
      </c>
      <c r="E149" s="182" t="s">
        <v>442</v>
      </c>
      <c r="F149" s="129" t="s">
        <v>443</v>
      </c>
      <c r="G149" s="129" t="s">
        <v>444</v>
      </c>
      <c r="H149" s="136" t="s">
        <v>243</v>
      </c>
      <c r="I149" s="3" t="s">
        <v>265</v>
      </c>
      <c r="J149" s="3" t="s">
        <v>300</v>
      </c>
      <c r="K149" s="28"/>
      <c r="L149" s="12"/>
      <c r="M149" s="12"/>
      <c r="N149" s="12"/>
      <c r="O149" s="86">
        <f t="shared" ref="O149:T149" si="11">SUM(O150:O175)</f>
        <v>132887583.56000003</v>
      </c>
      <c r="P149" s="86">
        <f t="shared" si="11"/>
        <v>132872768.32000002</v>
      </c>
      <c r="Q149" s="86">
        <f t="shared" si="11"/>
        <v>146299042.69999999</v>
      </c>
      <c r="R149" s="86">
        <f t="shared" si="11"/>
        <v>159879217.19999999</v>
      </c>
      <c r="S149" s="86">
        <f t="shared" si="11"/>
        <v>145616029.13</v>
      </c>
      <c r="T149" s="86">
        <f t="shared" si="11"/>
        <v>148144020.13</v>
      </c>
    </row>
    <row r="150" spans="1:20" ht="82.5" x14ac:dyDescent="0.25">
      <c r="A150" s="266"/>
      <c r="B150" s="137" t="s">
        <v>437</v>
      </c>
      <c r="C150" s="131" t="s">
        <v>438</v>
      </c>
      <c r="D150" s="131" t="s">
        <v>439</v>
      </c>
      <c r="E150" s="139" t="s">
        <v>388</v>
      </c>
      <c r="F150" s="131" t="s">
        <v>380</v>
      </c>
      <c r="G150" s="131" t="s">
        <v>389</v>
      </c>
      <c r="H150" s="148" t="s">
        <v>305</v>
      </c>
      <c r="I150" s="26" t="s">
        <v>138</v>
      </c>
      <c r="J150" s="3" t="s">
        <v>250</v>
      </c>
      <c r="K150" s="78" t="s">
        <v>54</v>
      </c>
      <c r="L150" s="79" t="s">
        <v>55</v>
      </c>
      <c r="M150" s="116" t="s">
        <v>103</v>
      </c>
      <c r="N150" s="224" t="s">
        <v>57</v>
      </c>
      <c r="O150" s="117">
        <v>3233261</v>
      </c>
      <c r="P150" s="117">
        <v>3221455.76</v>
      </c>
      <c r="Q150" s="41">
        <v>3244371.3</v>
      </c>
      <c r="R150" s="41">
        <v>3276799.13</v>
      </c>
      <c r="S150" s="41">
        <v>3276799.13</v>
      </c>
      <c r="T150" s="105">
        <v>3276799.13</v>
      </c>
    </row>
    <row r="151" spans="1:20" ht="66" x14ac:dyDescent="0.25">
      <c r="A151" s="266"/>
      <c r="B151" s="138" t="s">
        <v>418</v>
      </c>
      <c r="C151" s="131" t="s">
        <v>380</v>
      </c>
      <c r="D151" s="131" t="s">
        <v>419</v>
      </c>
      <c r="E151" s="182" t="s">
        <v>397</v>
      </c>
      <c r="F151" s="129" t="s">
        <v>398</v>
      </c>
      <c r="G151" s="129" t="s">
        <v>399</v>
      </c>
      <c r="H151" s="150" t="s">
        <v>116</v>
      </c>
      <c r="I151" s="26" t="s">
        <v>117</v>
      </c>
      <c r="J151" s="26" t="s">
        <v>319</v>
      </c>
      <c r="K151" s="78" t="s">
        <v>54</v>
      </c>
      <c r="L151" s="79" t="s">
        <v>60</v>
      </c>
      <c r="M151" s="116" t="s">
        <v>75</v>
      </c>
      <c r="N151" s="224" t="s">
        <v>107</v>
      </c>
      <c r="O151" s="117">
        <v>97702.44</v>
      </c>
      <c r="P151" s="117">
        <v>97702.44</v>
      </c>
      <c r="Q151" s="41">
        <v>0</v>
      </c>
      <c r="R151" s="41">
        <v>0</v>
      </c>
      <c r="S151" s="41">
        <v>0</v>
      </c>
      <c r="T151" s="105">
        <v>0</v>
      </c>
    </row>
    <row r="152" spans="1:20" ht="57.75" x14ac:dyDescent="0.25">
      <c r="A152" s="266"/>
      <c r="B152" s="138" t="s">
        <v>440</v>
      </c>
      <c r="C152" s="131" t="s">
        <v>380</v>
      </c>
      <c r="D152" s="131" t="s">
        <v>441</v>
      </c>
      <c r="E152" s="141"/>
      <c r="F152" s="5"/>
      <c r="G152" s="5"/>
      <c r="H152" s="149" t="s">
        <v>127</v>
      </c>
      <c r="I152" s="98" t="s">
        <v>126</v>
      </c>
      <c r="J152" s="3" t="s">
        <v>250</v>
      </c>
      <c r="K152" s="78" t="s">
        <v>54</v>
      </c>
      <c r="L152" s="79" t="s">
        <v>60</v>
      </c>
      <c r="M152" s="116" t="s">
        <v>61</v>
      </c>
      <c r="N152" s="224" t="s">
        <v>62</v>
      </c>
      <c r="O152" s="117">
        <v>40048.39</v>
      </c>
      <c r="P152" s="117">
        <v>37038.400000000001</v>
      </c>
      <c r="Q152" s="41">
        <v>56000</v>
      </c>
      <c r="R152" s="41">
        <v>56000</v>
      </c>
      <c r="S152" s="41">
        <v>56000</v>
      </c>
      <c r="T152" s="105">
        <v>56000</v>
      </c>
    </row>
    <row r="153" spans="1:20" ht="41.25" x14ac:dyDescent="0.25">
      <c r="A153" s="266"/>
      <c r="B153" s="140"/>
      <c r="C153" s="4"/>
      <c r="D153" s="4"/>
      <c r="E153" s="141"/>
      <c r="F153" s="5"/>
      <c r="G153" s="5"/>
      <c r="H153" s="136" t="s">
        <v>598</v>
      </c>
      <c r="I153" s="3"/>
      <c r="J153" s="3" t="s">
        <v>599</v>
      </c>
      <c r="K153" s="78" t="s">
        <v>54</v>
      </c>
      <c r="L153" s="79" t="s">
        <v>55</v>
      </c>
      <c r="M153" s="116" t="s">
        <v>360</v>
      </c>
      <c r="N153" s="224" t="s">
        <v>57</v>
      </c>
      <c r="O153" s="117">
        <v>27597.24</v>
      </c>
      <c r="P153" s="117">
        <v>27597.24</v>
      </c>
      <c r="Q153" s="41">
        <v>25000</v>
      </c>
      <c r="R153" s="41">
        <v>25000</v>
      </c>
      <c r="S153" s="41">
        <v>25000</v>
      </c>
      <c r="T153" s="105">
        <v>25000</v>
      </c>
    </row>
    <row r="154" spans="1:20" ht="41.25" x14ac:dyDescent="0.25">
      <c r="A154" s="266"/>
      <c r="B154" s="140"/>
      <c r="C154" s="4"/>
      <c r="D154" s="4"/>
      <c r="E154" s="141"/>
      <c r="F154" s="5"/>
      <c r="G154" s="5"/>
      <c r="H154" s="149" t="s">
        <v>128</v>
      </c>
      <c r="I154" s="98" t="s">
        <v>296</v>
      </c>
      <c r="J154" s="3" t="s">
        <v>250</v>
      </c>
      <c r="K154" s="78" t="s">
        <v>54</v>
      </c>
      <c r="L154" s="79" t="s">
        <v>55</v>
      </c>
      <c r="M154" s="116" t="s">
        <v>360</v>
      </c>
      <c r="N154" s="224" t="s">
        <v>62</v>
      </c>
      <c r="O154" s="117">
        <f>7500+23251.39</f>
        <v>30751.39</v>
      </c>
      <c r="P154" s="117">
        <f>7500+23251.39</f>
        <v>30751.39</v>
      </c>
      <c r="Q154" s="41">
        <v>32421.5</v>
      </c>
      <c r="R154" s="41">
        <v>35000</v>
      </c>
      <c r="S154" s="41">
        <v>35000</v>
      </c>
      <c r="T154" s="105">
        <v>35000</v>
      </c>
    </row>
    <row r="155" spans="1:20" ht="49.5" x14ac:dyDescent="0.25">
      <c r="A155" s="266"/>
      <c r="B155" s="140"/>
      <c r="C155" s="4"/>
      <c r="D155" s="4"/>
      <c r="E155" s="141"/>
      <c r="F155" s="5"/>
      <c r="G155" s="5"/>
      <c r="H155" s="136" t="s">
        <v>139</v>
      </c>
      <c r="I155" s="3" t="s">
        <v>140</v>
      </c>
      <c r="J155" s="3" t="s">
        <v>298</v>
      </c>
      <c r="K155" s="78" t="s">
        <v>54</v>
      </c>
      <c r="L155" s="79" t="s">
        <v>60</v>
      </c>
      <c r="M155" s="116" t="s">
        <v>66</v>
      </c>
      <c r="N155" s="224" t="s">
        <v>57</v>
      </c>
      <c r="O155" s="117">
        <v>64829.88</v>
      </c>
      <c r="P155" s="117">
        <v>64829.88</v>
      </c>
      <c r="Q155" s="44">
        <v>60000</v>
      </c>
      <c r="R155" s="41">
        <v>70000</v>
      </c>
      <c r="S155" s="41">
        <v>70000</v>
      </c>
      <c r="T155" s="105">
        <v>70000</v>
      </c>
    </row>
    <row r="156" spans="1:20" ht="41.25" x14ac:dyDescent="0.25">
      <c r="A156" s="266"/>
      <c r="B156" s="140"/>
      <c r="C156" s="4"/>
      <c r="D156" s="4"/>
      <c r="E156" s="141"/>
      <c r="F156" s="5"/>
      <c r="G156" s="5"/>
      <c r="H156" s="136" t="s">
        <v>262</v>
      </c>
      <c r="I156" s="3" t="s">
        <v>49</v>
      </c>
      <c r="J156" s="3" t="s">
        <v>308</v>
      </c>
      <c r="K156" s="78" t="s">
        <v>54</v>
      </c>
      <c r="L156" s="79" t="s">
        <v>60</v>
      </c>
      <c r="M156" s="116" t="s">
        <v>67</v>
      </c>
      <c r="N156" s="224" t="s">
        <v>62</v>
      </c>
      <c r="O156" s="117">
        <v>37821.49</v>
      </c>
      <c r="P156" s="117">
        <v>37821.49</v>
      </c>
      <c r="Q156" s="44">
        <v>28578.5</v>
      </c>
      <c r="R156" s="41">
        <v>77200</v>
      </c>
      <c r="S156" s="41">
        <v>77200</v>
      </c>
      <c r="T156" s="105">
        <v>77200</v>
      </c>
    </row>
    <row r="157" spans="1:20" ht="49.5" x14ac:dyDescent="0.25">
      <c r="A157" s="266"/>
      <c r="B157" s="140"/>
      <c r="C157" s="4"/>
      <c r="D157" s="4"/>
      <c r="E157" s="141"/>
      <c r="F157" s="5"/>
      <c r="G157" s="5"/>
      <c r="H157" s="136" t="s">
        <v>53</v>
      </c>
      <c r="I157" s="3"/>
      <c r="J157" s="3" t="s">
        <v>313</v>
      </c>
      <c r="K157" s="78" t="s">
        <v>54</v>
      </c>
      <c r="L157" s="79" t="s">
        <v>60</v>
      </c>
      <c r="M157" s="116" t="s">
        <v>67</v>
      </c>
      <c r="N157" s="224" t="s">
        <v>68</v>
      </c>
      <c r="O157" s="117">
        <v>0</v>
      </c>
      <c r="P157" s="117">
        <v>0</v>
      </c>
      <c r="Q157" s="44">
        <v>0</v>
      </c>
      <c r="R157" s="41">
        <v>61.07</v>
      </c>
      <c r="S157" s="41">
        <v>0</v>
      </c>
      <c r="T157" s="105">
        <v>0</v>
      </c>
    </row>
    <row r="158" spans="1:20" ht="41.25" x14ac:dyDescent="0.25">
      <c r="A158" s="266"/>
      <c r="B158" s="140"/>
      <c r="C158" s="4"/>
      <c r="D158" s="4"/>
      <c r="E158" s="141"/>
      <c r="F158" s="5"/>
      <c r="G158" s="5"/>
      <c r="H158" s="136" t="s">
        <v>70</v>
      </c>
      <c r="I158" s="3"/>
      <c r="J158" s="3" t="s">
        <v>315</v>
      </c>
      <c r="K158" s="78" t="s">
        <v>118</v>
      </c>
      <c r="L158" s="79" t="s">
        <v>54</v>
      </c>
      <c r="M158" s="116" t="s">
        <v>133</v>
      </c>
      <c r="N158" s="224" t="s">
        <v>106</v>
      </c>
      <c r="O158" s="117">
        <v>1158953.31</v>
      </c>
      <c r="P158" s="117">
        <v>1158953.31</v>
      </c>
      <c r="Q158" s="44">
        <v>1400000</v>
      </c>
      <c r="R158" s="41">
        <v>1600000</v>
      </c>
      <c r="S158" s="41">
        <v>300000</v>
      </c>
      <c r="T158" s="105">
        <v>300000</v>
      </c>
    </row>
    <row r="159" spans="1:20" x14ac:dyDescent="0.25">
      <c r="A159" s="266"/>
      <c r="B159" s="140"/>
      <c r="C159" s="4"/>
      <c r="D159" s="4"/>
      <c r="E159" s="141"/>
      <c r="F159" s="5"/>
      <c r="G159" s="5"/>
      <c r="H159" s="136"/>
      <c r="I159" s="3"/>
      <c r="J159" s="3"/>
      <c r="K159" s="78" t="s">
        <v>118</v>
      </c>
      <c r="L159" s="79" t="s">
        <v>54</v>
      </c>
      <c r="M159" s="116" t="s">
        <v>567</v>
      </c>
      <c r="N159" s="224" t="s">
        <v>106</v>
      </c>
      <c r="O159" s="117">
        <v>779500</v>
      </c>
      <c r="P159" s="117">
        <v>779500</v>
      </c>
      <c r="Q159" s="44">
        <v>810800</v>
      </c>
      <c r="R159" s="44">
        <v>594057</v>
      </c>
      <c r="S159" s="44">
        <v>620730</v>
      </c>
      <c r="T159" s="106">
        <v>648721</v>
      </c>
    </row>
    <row r="160" spans="1:20" x14ac:dyDescent="0.25">
      <c r="A160" s="266"/>
      <c r="B160" s="140"/>
      <c r="C160" s="4"/>
      <c r="D160" s="4"/>
      <c r="E160" s="141"/>
      <c r="F160" s="5"/>
      <c r="G160" s="5"/>
      <c r="H160" s="136"/>
      <c r="I160" s="3"/>
      <c r="J160" s="3"/>
      <c r="K160" s="78" t="s">
        <v>118</v>
      </c>
      <c r="L160" s="79" t="s">
        <v>54</v>
      </c>
      <c r="M160" s="116" t="s">
        <v>568</v>
      </c>
      <c r="N160" s="224" t="s">
        <v>106</v>
      </c>
      <c r="O160" s="117">
        <v>41000</v>
      </c>
      <c r="P160" s="117">
        <v>41000</v>
      </c>
      <c r="Q160" s="44">
        <v>42700</v>
      </c>
      <c r="R160" s="44">
        <v>39800</v>
      </c>
      <c r="S160" s="44">
        <v>48000</v>
      </c>
      <c r="T160" s="106">
        <v>48000</v>
      </c>
    </row>
    <row r="161" spans="1:20" x14ac:dyDescent="0.25">
      <c r="A161" s="266"/>
      <c r="B161" s="140"/>
      <c r="C161" s="4"/>
      <c r="D161" s="4"/>
      <c r="E161" s="141"/>
      <c r="F161" s="5"/>
      <c r="G161" s="5"/>
      <c r="H161" s="136"/>
      <c r="I161" s="3"/>
      <c r="J161" s="3"/>
      <c r="K161" s="78" t="s">
        <v>118</v>
      </c>
      <c r="L161" s="79" t="s">
        <v>54</v>
      </c>
      <c r="M161" s="116" t="s">
        <v>132</v>
      </c>
      <c r="N161" s="224" t="s">
        <v>106</v>
      </c>
      <c r="O161" s="117">
        <v>94740582.180000007</v>
      </c>
      <c r="P161" s="117">
        <v>94740582.180000007</v>
      </c>
      <c r="Q161" s="44">
        <v>110300571.40000001</v>
      </c>
      <c r="R161" s="44">
        <f>121045069.1-56269.1</f>
        <v>120988800</v>
      </c>
      <c r="S161" s="44">
        <v>110714400</v>
      </c>
      <c r="T161" s="106">
        <v>113214400</v>
      </c>
    </row>
    <row r="162" spans="1:20" x14ac:dyDescent="0.25">
      <c r="A162" s="266"/>
      <c r="B162" s="140"/>
      <c r="C162" s="4"/>
      <c r="D162" s="4"/>
      <c r="E162" s="141"/>
      <c r="F162" s="5"/>
      <c r="G162" s="5"/>
      <c r="H162" s="136"/>
      <c r="I162" s="3"/>
      <c r="J162" s="3"/>
      <c r="K162" s="78" t="s">
        <v>118</v>
      </c>
      <c r="L162" s="79" t="s">
        <v>54</v>
      </c>
      <c r="M162" s="116" t="s">
        <v>130</v>
      </c>
      <c r="N162" s="224" t="s">
        <v>106</v>
      </c>
      <c r="O162" s="117">
        <v>1778241.51</v>
      </c>
      <c r="P162" s="117">
        <v>1778241.51</v>
      </c>
      <c r="Q162" s="44">
        <v>0</v>
      </c>
      <c r="R162" s="44">
        <v>0</v>
      </c>
      <c r="S162" s="44">
        <v>0</v>
      </c>
      <c r="T162" s="106">
        <v>0</v>
      </c>
    </row>
    <row r="163" spans="1:20" x14ac:dyDescent="0.25">
      <c r="A163" s="266"/>
      <c r="B163" s="140"/>
      <c r="C163" s="4"/>
      <c r="D163" s="4"/>
      <c r="E163" s="141"/>
      <c r="F163" s="5"/>
      <c r="G163" s="5"/>
      <c r="H163" s="136"/>
      <c r="I163" s="3"/>
      <c r="J163" s="3"/>
      <c r="K163" s="78" t="s">
        <v>118</v>
      </c>
      <c r="L163" s="79" t="s">
        <v>54</v>
      </c>
      <c r="M163" s="116" t="s">
        <v>131</v>
      </c>
      <c r="N163" s="224" t="s">
        <v>106</v>
      </c>
      <c r="O163" s="117">
        <v>883423</v>
      </c>
      <c r="P163" s="117">
        <v>883423</v>
      </c>
      <c r="Q163" s="44">
        <v>0</v>
      </c>
      <c r="R163" s="44">
        <v>1200000</v>
      </c>
      <c r="S163" s="44">
        <v>0</v>
      </c>
      <c r="T163" s="106">
        <v>0</v>
      </c>
    </row>
    <row r="164" spans="1:20" x14ac:dyDescent="0.25">
      <c r="A164" s="266"/>
      <c r="B164" s="140"/>
      <c r="C164" s="4"/>
      <c r="D164" s="4"/>
      <c r="E164" s="141"/>
      <c r="F164" s="5"/>
      <c r="G164" s="5"/>
      <c r="H164" s="136"/>
      <c r="I164" s="3"/>
      <c r="J164" s="3"/>
      <c r="K164" s="78" t="s">
        <v>118</v>
      </c>
      <c r="L164" s="79" t="s">
        <v>54</v>
      </c>
      <c r="M164" s="116" t="s">
        <v>144</v>
      </c>
      <c r="N164" s="224" t="s">
        <v>106</v>
      </c>
      <c r="O164" s="117">
        <v>125806.12</v>
      </c>
      <c r="P164" s="117">
        <v>125806.12</v>
      </c>
      <c r="Q164" s="44">
        <v>250000</v>
      </c>
      <c r="R164" s="44">
        <v>250000</v>
      </c>
      <c r="S164" s="44">
        <v>50000</v>
      </c>
      <c r="T164" s="106">
        <v>50000</v>
      </c>
    </row>
    <row r="165" spans="1:20" x14ac:dyDescent="0.25">
      <c r="A165" s="266"/>
      <c r="B165" s="140"/>
      <c r="C165" s="4"/>
      <c r="D165" s="4"/>
      <c r="E165" s="141"/>
      <c r="F165" s="5"/>
      <c r="G165" s="5"/>
      <c r="H165" s="136"/>
      <c r="I165" s="3"/>
      <c r="J165" s="3"/>
      <c r="K165" s="78" t="s">
        <v>118</v>
      </c>
      <c r="L165" s="79" t="s">
        <v>54</v>
      </c>
      <c r="M165" s="116" t="s">
        <v>143</v>
      </c>
      <c r="N165" s="224" t="s">
        <v>106</v>
      </c>
      <c r="O165" s="117">
        <v>14369400</v>
      </c>
      <c r="P165" s="117">
        <v>14369400</v>
      </c>
      <c r="Q165" s="44">
        <v>14584600</v>
      </c>
      <c r="R165" s="44">
        <f>15705818.68+110181.32</f>
        <v>15816000</v>
      </c>
      <c r="S165" s="44">
        <v>14851800</v>
      </c>
      <c r="T165" s="106">
        <v>14851800</v>
      </c>
    </row>
    <row r="166" spans="1:20" x14ac:dyDescent="0.25">
      <c r="A166" s="266"/>
      <c r="B166" s="140"/>
      <c r="C166" s="4"/>
      <c r="D166" s="4"/>
      <c r="E166" s="141"/>
      <c r="F166" s="5"/>
      <c r="G166" s="5"/>
      <c r="H166" s="136"/>
      <c r="I166" s="3"/>
      <c r="J166" s="3"/>
      <c r="K166" s="45" t="s">
        <v>118</v>
      </c>
      <c r="L166" s="46" t="s">
        <v>55</v>
      </c>
      <c r="M166" s="116" t="s">
        <v>65</v>
      </c>
      <c r="N166" s="224" t="s">
        <v>106</v>
      </c>
      <c r="O166" s="117">
        <v>99951.61</v>
      </c>
      <c r="P166" s="117">
        <v>99951.6</v>
      </c>
      <c r="Q166" s="44">
        <v>0</v>
      </c>
      <c r="R166" s="44">
        <v>0</v>
      </c>
      <c r="S166" s="44">
        <v>0</v>
      </c>
      <c r="T166" s="106">
        <v>0</v>
      </c>
    </row>
    <row r="167" spans="1:20" x14ac:dyDescent="0.25">
      <c r="A167" s="266"/>
      <c r="B167" s="140"/>
      <c r="C167" s="4"/>
      <c r="D167" s="4"/>
      <c r="E167" s="141"/>
      <c r="F167" s="5"/>
      <c r="G167" s="5"/>
      <c r="H167" s="136"/>
      <c r="I167" s="3"/>
      <c r="J167" s="3"/>
      <c r="K167" s="45" t="s">
        <v>118</v>
      </c>
      <c r="L167" s="46" t="s">
        <v>55</v>
      </c>
      <c r="M167" s="116" t="s">
        <v>134</v>
      </c>
      <c r="N167" s="224" t="s">
        <v>106</v>
      </c>
      <c r="O167" s="117">
        <v>52000</v>
      </c>
      <c r="P167" s="117">
        <v>52000</v>
      </c>
      <c r="Q167" s="49">
        <v>72000</v>
      </c>
      <c r="R167" s="49">
        <v>72000</v>
      </c>
      <c r="S167" s="49">
        <v>72000</v>
      </c>
      <c r="T167" s="50">
        <v>72000</v>
      </c>
    </row>
    <row r="168" spans="1:20" x14ac:dyDescent="0.25">
      <c r="A168" s="266"/>
      <c r="B168" s="140"/>
      <c r="C168" s="4"/>
      <c r="D168" s="4"/>
      <c r="E168" s="141"/>
      <c r="F168" s="5"/>
      <c r="G168" s="5"/>
      <c r="H168" s="136"/>
      <c r="I168" s="3"/>
      <c r="J168" s="3"/>
      <c r="K168" s="45" t="s">
        <v>118</v>
      </c>
      <c r="L168" s="46" t="s">
        <v>55</v>
      </c>
      <c r="M168" s="116" t="s">
        <v>142</v>
      </c>
      <c r="N168" s="224" t="s">
        <v>106</v>
      </c>
      <c r="O168" s="117">
        <v>4000</v>
      </c>
      <c r="P168" s="117">
        <v>4000</v>
      </c>
      <c r="Q168" s="47">
        <v>9000</v>
      </c>
      <c r="R168" s="47">
        <v>9000</v>
      </c>
      <c r="S168" s="47">
        <v>9000</v>
      </c>
      <c r="T168" s="48">
        <v>9000</v>
      </c>
    </row>
    <row r="169" spans="1:20" x14ac:dyDescent="0.25">
      <c r="A169" s="266"/>
      <c r="B169" s="140"/>
      <c r="C169" s="4"/>
      <c r="D169" s="4"/>
      <c r="E169" s="141"/>
      <c r="F169" s="5"/>
      <c r="G169" s="5"/>
      <c r="H169" s="136"/>
      <c r="I169" s="3"/>
      <c r="J169" s="3"/>
      <c r="K169" s="45" t="s">
        <v>118</v>
      </c>
      <c r="L169" s="46" t="s">
        <v>55</v>
      </c>
      <c r="M169" s="116" t="s">
        <v>137</v>
      </c>
      <c r="N169" s="224" t="s">
        <v>106</v>
      </c>
      <c r="O169" s="117">
        <v>364615.29</v>
      </c>
      <c r="P169" s="117">
        <v>364615.29</v>
      </c>
      <c r="Q169" s="47">
        <v>250000</v>
      </c>
      <c r="R169" s="47">
        <v>350000</v>
      </c>
      <c r="S169" s="47">
        <v>100000</v>
      </c>
      <c r="T169" s="48">
        <v>100000</v>
      </c>
    </row>
    <row r="170" spans="1:20" x14ac:dyDescent="0.25">
      <c r="A170" s="266"/>
      <c r="B170" s="140"/>
      <c r="C170" s="4"/>
      <c r="D170" s="4"/>
      <c r="E170" s="141"/>
      <c r="F170" s="5"/>
      <c r="G170" s="5"/>
      <c r="H170" s="136"/>
      <c r="I170" s="3"/>
      <c r="J170" s="3"/>
      <c r="K170" s="45" t="s">
        <v>118</v>
      </c>
      <c r="L170" s="46" t="s">
        <v>55</v>
      </c>
      <c r="M170" s="116" t="s">
        <v>136</v>
      </c>
      <c r="N170" s="224" t="s">
        <v>106</v>
      </c>
      <c r="O170" s="117">
        <v>14371622.09</v>
      </c>
      <c r="P170" s="117">
        <v>14371622.09</v>
      </c>
      <c r="Q170" s="47">
        <v>14597500</v>
      </c>
      <c r="R170" s="47">
        <f>14884040.56-40.56</f>
        <v>14884000</v>
      </c>
      <c r="S170" s="47">
        <v>14774600</v>
      </c>
      <c r="T170" s="48">
        <v>14774600</v>
      </c>
    </row>
    <row r="171" spans="1:20" x14ac:dyDescent="0.25">
      <c r="A171" s="266"/>
      <c r="B171" s="140"/>
      <c r="C171" s="4"/>
      <c r="D171" s="4"/>
      <c r="E171" s="141"/>
      <c r="F171" s="5"/>
      <c r="G171" s="5"/>
      <c r="H171" s="136"/>
      <c r="I171" s="3"/>
      <c r="J171" s="3"/>
      <c r="K171" s="45" t="s">
        <v>118</v>
      </c>
      <c r="L171" s="46" t="s">
        <v>55</v>
      </c>
      <c r="M171" s="116" t="s">
        <v>538</v>
      </c>
      <c r="N171" s="224" t="s">
        <v>106</v>
      </c>
      <c r="O171" s="117">
        <v>103000</v>
      </c>
      <c r="P171" s="117">
        <v>103000</v>
      </c>
      <c r="Q171" s="47">
        <v>0</v>
      </c>
      <c r="R171" s="47">
        <v>0</v>
      </c>
      <c r="S171" s="47">
        <v>0</v>
      </c>
      <c r="T171" s="47">
        <v>0</v>
      </c>
    </row>
    <row r="172" spans="1:20" x14ac:dyDescent="0.25">
      <c r="A172" s="266"/>
      <c r="B172" s="140"/>
      <c r="C172" s="4"/>
      <c r="D172" s="4"/>
      <c r="E172" s="141"/>
      <c r="F172" s="5"/>
      <c r="G172" s="5"/>
      <c r="H172" s="136"/>
      <c r="I172" s="3"/>
      <c r="J172" s="3"/>
      <c r="K172" s="45" t="s">
        <v>118</v>
      </c>
      <c r="L172" s="46" t="s">
        <v>55</v>
      </c>
      <c r="M172" s="116" t="s">
        <v>135</v>
      </c>
      <c r="N172" s="224" t="s">
        <v>106</v>
      </c>
      <c r="O172" s="117">
        <v>199562.62</v>
      </c>
      <c r="P172" s="117">
        <v>199562.62</v>
      </c>
      <c r="Q172" s="47">
        <v>0</v>
      </c>
      <c r="R172" s="47">
        <v>0</v>
      </c>
      <c r="S172" s="47">
        <v>0</v>
      </c>
      <c r="T172" s="47">
        <v>0</v>
      </c>
    </row>
    <row r="173" spans="1:20" x14ac:dyDescent="0.25">
      <c r="A173" s="266"/>
      <c r="B173" s="140"/>
      <c r="C173" s="4"/>
      <c r="D173" s="4"/>
      <c r="E173" s="141"/>
      <c r="F173" s="5"/>
      <c r="G173" s="5"/>
      <c r="H173" s="136"/>
      <c r="I173" s="3"/>
      <c r="J173" s="3"/>
      <c r="K173" s="45" t="s">
        <v>121</v>
      </c>
      <c r="L173" s="46" t="s">
        <v>122</v>
      </c>
      <c r="M173" s="116" t="s">
        <v>539</v>
      </c>
      <c r="N173" s="224" t="s">
        <v>106</v>
      </c>
      <c r="O173" s="117">
        <v>61400</v>
      </c>
      <c r="P173" s="117">
        <v>61400</v>
      </c>
      <c r="Q173" s="47">
        <v>0</v>
      </c>
      <c r="R173" s="47">
        <v>0</v>
      </c>
      <c r="S173" s="47">
        <v>0</v>
      </c>
      <c r="T173" s="48">
        <v>0</v>
      </c>
    </row>
    <row r="174" spans="1:20" x14ac:dyDescent="0.25">
      <c r="A174" s="266"/>
      <c r="B174" s="140"/>
      <c r="C174" s="4"/>
      <c r="D174" s="4"/>
      <c r="E174" s="141"/>
      <c r="F174" s="5"/>
      <c r="G174" s="5"/>
      <c r="H174" s="136"/>
      <c r="I174" s="3"/>
      <c r="J174" s="3"/>
      <c r="K174" s="45" t="s">
        <v>121</v>
      </c>
      <c r="L174" s="46" t="s">
        <v>122</v>
      </c>
      <c r="M174" s="116" t="s">
        <v>102</v>
      </c>
      <c r="N174" s="224" t="s">
        <v>106</v>
      </c>
      <c r="O174" s="117">
        <v>0</v>
      </c>
      <c r="P174" s="117">
        <v>0</v>
      </c>
      <c r="Q174" s="47">
        <v>225500</v>
      </c>
      <c r="R174" s="47">
        <v>225500</v>
      </c>
      <c r="S174" s="47">
        <v>225500</v>
      </c>
      <c r="T174" s="48">
        <v>225500</v>
      </c>
    </row>
    <row r="175" spans="1:20" x14ac:dyDescent="0.25">
      <c r="A175" s="266"/>
      <c r="B175" s="140"/>
      <c r="C175" s="4"/>
      <c r="D175" s="4"/>
      <c r="E175" s="141"/>
      <c r="F175" s="5"/>
      <c r="G175" s="5"/>
      <c r="H175" s="136"/>
      <c r="I175" s="3"/>
      <c r="J175" s="3"/>
      <c r="K175" s="45" t="s">
        <v>121</v>
      </c>
      <c r="L175" s="46" t="s">
        <v>122</v>
      </c>
      <c r="M175" s="116" t="s">
        <v>125</v>
      </c>
      <c r="N175" s="224" t="s">
        <v>106</v>
      </c>
      <c r="O175" s="117">
        <v>222514</v>
      </c>
      <c r="P175" s="117">
        <v>222514</v>
      </c>
      <c r="Q175" s="47">
        <v>310000</v>
      </c>
      <c r="R175" s="47">
        <v>310000</v>
      </c>
      <c r="S175" s="47">
        <v>310000</v>
      </c>
      <c r="T175" s="48">
        <v>310000</v>
      </c>
    </row>
    <row r="176" spans="1:20" ht="49.5" x14ac:dyDescent="0.25">
      <c r="A176" s="266" t="s">
        <v>17</v>
      </c>
      <c r="B176" s="128" t="s">
        <v>372</v>
      </c>
      <c r="C176" s="129" t="s">
        <v>445</v>
      </c>
      <c r="D176" s="129" t="s">
        <v>374</v>
      </c>
      <c r="E176" s="135" t="s">
        <v>446</v>
      </c>
      <c r="F176" s="129" t="s">
        <v>447</v>
      </c>
      <c r="G176" s="129" t="s">
        <v>448</v>
      </c>
      <c r="H176" s="136" t="s">
        <v>243</v>
      </c>
      <c r="I176" s="3" t="s">
        <v>266</v>
      </c>
      <c r="J176" s="3" t="s">
        <v>300</v>
      </c>
      <c r="K176" s="28"/>
      <c r="L176" s="12"/>
      <c r="M176" s="12"/>
      <c r="N176" s="12"/>
      <c r="O176" s="86">
        <f t="shared" ref="O176:T176" si="12">SUM(O177:O181)</f>
        <v>905113.05</v>
      </c>
      <c r="P176" s="86">
        <f t="shared" si="12"/>
        <v>905113.05</v>
      </c>
      <c r="Q176" s="86">
        <f t="shared" si="12"/>
        <v>1256120</v>
      </c>
      <c r="R176" s="86">
        <f t="shared" si="12"/>
        <v>2057836.29</v>
      </c>
      <c r="S176" s="86">
        <f>SUM(S177:S181)</f>
        <v>2057836.29</v>
      </c>
      <c r="T176" s="86">
        <f t="shared" si="12"/>
        <v>2057836.29</v>
      </c>
    </row>
    <row r="177" spans="1:20" ht="57.75" x14ac:dyDescent="0.25">
      <c r="A177" s="266"/>
      <c r="B177" s="130" t="s">
        <v>437</v>
      </c>
      <c r="C177" s="131" t="s">
        <v>438</v>
      </c>
      <c r="D177" s="131" t="s">
        <v>439</v>
      </c>
      <c r="E177" s="140"/>
      <c r="F177" s="4"/>
      <c r="G177" s="4"/>
      <c r="H177" s="144" t="s">
        <v>202</v>
      </c>
      <c r="I177" s="3" t="s">
        <v>141</v>
      </c>
      <c r="J177" s="3" t="s">
        <v>250</v>
      </c>
      <c r="K177" s="54" t="s">
        <v>55</v>
      </c>
      <c r="L177" s="55" t="s">
        <v>18</v>
      </c>
      <c r="M177" s="55" t="s">
        <v>201</v>
      </c>
      <c r="N177" s="55" t="s">
        <v>62</v>
      </c>
      <c r="O177" s="56">
        <v>0</v>
      </c>
      <c r="P177" s="56">
        <v>0</v>
      </c>
      <c r="Q177" s="56">
        <v>180000</v>
      </c>
      <c r="R177" s="56">
        <v>573836.29</v>
      </c>
      <c r="S177" s="56">
        <v>573836.29</v>
      </c>
      <c r="T177" s="90">
        <v>573836.29</v>
      </c>
    </row>
    <row r="178" spans="1:20" ht="49.5" x14ac:dyDescent="0.25">
      <c r="A178" s="266"/>
      <c r="B178" s="140"/>
      <c r="C178" s="4"/>
      <c r="D178" s="4"/>
      <c r="E178" s="140"/>
      <c r="F178" s="4"/>
      <c r="G178" s="4"/>
      <c r="H178" s="136" t="s">
        <v>310</v>
      </c>
      <c r="I178" s="3" t="s">
        <v>126</v>
      </c>
      <c r="J178" s="3" t="s">
        <v>250</v>
      </c>
      <c r="K178" s="28" t="s">
        <v>118</v>
      </c>
      <c r="L178" s="12" t="s">
        <v>55</v>
      </c>
      <c r="M178" s="12" t="s">
        <v>201</v>
      </c>
      <c r="N178" s="12" t="s">
        <v>106</v>
      </c>
      <c r="O178" s="7">
        <v>905113.05</v>
      </c>
      <c r="P178" s="7">
        <v>905113.05</v>
      </c>
      <c r="Q178" s="7">
        <v>1076120</v>
      </c>
      <c r="R178" s="7">
        <v>1484000</v>
      </c>
      <c r="S178" s="7">
        <v>1484000</v>
      </c>
      <c r="T178" s="87">
        <v>1484000</v>
      </c>
    </row>
    <row r="179" spans="1:20" ht="66" x14ac:dyDescent="0.25">
      <c r="A179" s="266"/>
      <c r="B179" s="140"/>
      <c r="C179" s="4"/>
      <c r="D179" s="4"/>
      <c r="E179" s="140"/>
      <c r="F179" s="4"/>
      <c r="G179" s="4"/>
      <c r="H179" s="145" t="s">
        <v>116</v>
      </c>
      <c r="I179" s="3" t="s">
        <v>117</v>
      </c>
      <c r="J179" s="26" t="s">
        <v>319</v>
      </c>
      <c r="K179" s="28"/>
      <c r="L179" s="12"/>
      <c r="M179" s="12"/>
      <c r="N179" s="12"/>
      <c r="O179" s="7"/>
      <c r="P179" s="7"/>
      <c r="Q179" s="7"/>
      <c r="R179" s="7"/>
      <c r="S179" s="7"/>
      <c r="T179" s="87"/>
    </row>
    <row r="180" spans="1:20" ht="41.25" x14ac:dyDescent="0.25">
      <c r="A180" s="266"/>
      <c r="B180" s="140"/>
      <c r="C180" s="4"/>
      <c r="D180" s="4"/>
      <c r="E180" s="140"/>
      <c r="F180" s="4"/>
      <c r="G180" s="4"/>
      <c r="H180" s="136" t="s">
        <v>598</v>
      </c>
      <c r="I180" s="3"/>
      <c r="J180" s="3" t="s">
        <v>599</v>
      </c>
      <c r="K180" s="28"/>
      <c r="L180" s="12"/>
      <c r="M180" s="12"/>
      <c r="N180" s="12"/>
      <c r="O180" s="7"/>
      <c r="P180" s="7"/>
      <c r="Q180" s="7"/>
      <c r="R180" s="7"/>
      <c r="S180" s="7"/>
      <c r="T180" s="87"/>
    </row>
    <row r="181" spans="1:20" ht="41.25" x14ac:dyDescent="0.25">
      <c r="A181" s="266"/>
      <c r="B181" s="140"/>
      <c r="C181" s="4"/>
      <c r="D181" s="4"/>
      <c r="E181" s="140"/>
      <c r="F181" s="4"/>
      <c r="G181" s="4"/>
      <c r="H181" s="136" t="s">
        <v>262</v>
      </c>
      <c r="I181" s="3" t="s">
        <v>49</v>
      </c>
      <c r="J181" s="3" t="s">
        <v>308</v>
      </c>
      <c r="K181" s="54"/>
      <c r="L181" s="55"/>
      <c r="M181" s="55"/>
      <c r="N181" s="55"/>
      <c r="O181" s="56"/>
      <c r="P181" s="56"/>
      <c r="Q181" s="56"/>
      <c r="R181" s="56"/>
      <c r="S181" s="56"/>
      <c r="T181" s="90"/>
    </row>
    <row r="182" spans="1:20" ht="49.5" x14ac:dyDescent="0.25">
      <c r="A182" s="266" t="s">
        <v>25</v>
      </c>
      <c r="B182" s="128" t="s">
        <v>372</v>
      </c>
      <c r="C182" s="129" t="s">
        <v>449</v>
      </c>
      <c r="D182" s="129" t="s">
        <v>374</v>
      </c>
      <c r="E182" s="135" t="s">
        <v>452</v>
      </c>
      <c r="F182" s="129" t="s">
        <v>391</v>
      </c>
      <c r="G182" s="129" t="s">
        <v>453</v>
      </c>
      <c r="H182" s="136" t="s">
        <v>243</v>
      </c>
      <c r="I182" s="3" t="s">
        <v>267</v>
      </c>
      <c r="J182" s="3" t="s">
        <v>300</v>
      </c>
      <c r="K182" s="28"/>
      <c r="L182" s="12"/>
      <c r="M182" s="12"/>
      <c r="N182" s="12"/>
      <c r="O182" s="86">
        <f>SUM(O183:O184)</f>
        <v>1795962</v>
      </c>
      <c r="P182" s="86">
        <f t="shared" ref="P182:T182" si="13">SUM(P183:P184)</f>
        <v>1791002.84</v>
      </c>
      <c r="Q182" s="86">
        <f t="shared" si="13"/>
        <v>1700000</v>
      </c>
      <c r="R182" s="86">
        <f t="shared" si="13"/>
        <v>1700000</v>
      </c>
      <c r="S182" s="86">
        <f t="shared" si="13"/>
        <v>500000</v>
      </c>
      <c r="T182" s="86">
        <f t="shared" si="13"/>
        <v>500000</v>
      </c>
    </row>
    <row r="183" spans="1:20" ht="41.25" x14ac:dyDescent="0.25">
      <c r="A183" s="266"/>
      <c r="B183" s="130" t="s">
        <v>450</v>
      </c>
      <c r="C183" s="131" t="s">
        <v>416</v>
      </c>
      <c r="D183" s="131" t="s">
        <v>451</v>
      </c>
      <c r="E183" s="136"/>
      <c r="F183" s="3"/>
      <c r="G183" s="3"/>
      <c r="H183" s="149" t="s">
        <v>128</v>
      </c>
      <c r="I183" s="98" t="s">
        <v>126</v>
      </c>
      <c r="J183" s="98" t="s">
        <v>250</v>
      </c>
      <c r="K183" s="28" t="s">
        <v>73</v>
      </c>
      <c r="L183" s="12" t="s">
        <v>153</v>
      </c>
      <c r="M183" s="12" t="s">
        <v>216</v>
      </c>
      <c r="N183" s="12" t="s">
        <v>57</v>
      </c>
      <c r="O183" s="7">
        <v>450887.3</v>
      </c>
      <c r="P183" s="7">
        <v>445929</v>
      </c>
      <c r="Q183" s="7">
        <v>352280</v>
      </c>
      <c r="R183" s="7">
        <v>389480</v>
      </c>
      <c r="S183" s="7">
        <v>0</v>
      </c>
      <c r="T183" s="87">
        <v>0</v>
      </c>
    </row>
    <row r="184" spans="1:20" x14ac:dyDescent="0.25">
      <c r="A184" s="266"/>
      <c r="B184" s="141"/>
      <c r="C184" s="5"/>
      <c r="D184" s="5"/>
      <c r="E184" s="136"/>
      <c r="F184" s="3"/>
      <c r="G184" s="3"/>
      <c r="H184" s="136"/>
      <c r="I184" s="3"/>
      <c r="J184" s="3"/>
      <c r="K184" s="28" t="s">
        <v>73</v>
      </c>
      <c r="L184" s="12" t="s">
        <v>153</v>
      </c>
      <c r="M184" s="12" t="s">
        <v>216</v>
      </c>
      <c r="N184" s="12" t="s">
        <v>62</v>
      </c>
      <c r="O184" s="7">
        <v>1345074.7</v>
      </c>
      <c r="P184" s="7">
        <v>1345073.84</v>
      </c>
      <c r="Q184" s="7">
        <v>1347720</v>
      </c>
      <c r="R184" s="41">
        <v>1310520</v>
      </c>
      <c r="S184" s="7">
        <v>500000</v>
      </c>
      <c r="T184" s="87">
        <v>500000</v>
      </c>
    </row>
    <row r="185" spans="1:20" ht="66" x14ac:dyDescent="0.25">
      <c r="A185" s="266" t="s">
        <v>26</v>
      </c>
      <c r="B185" s="128" t="s">
        <v>372</v>
      </c>
      <c r="C185" s="129" t="s">
        <v>454</v>
      </c>
      <c r="D185" s="129" t="s">
        <v>374</v>
      </c>
      <c r="E185" s="135" t="s">
        <v>397</v>
      </c>
      <c r="F185" s="129" t="s">
        <v>398</v>
      </c>
      <c r="G185" s="129" t="s">
        <v>399</v>
      </c>
      <c r="H185" s="136" t="s">
        <v>243</v>
      </c>
      <c r="I185" s="3" t="s">
        <v>268</v>
      </c>
      <c r="J185" s="3" t="s">
        <v>300</v>
      </c>
      <c r="K185" s="28"/>
      <c r="L185" s="12"/>
      <c r="M185" s="12"/>
      <c r="N185" s="12"/>
      <c r="O185" s="86">
        <f t="shared" ref="O185:T185" si="14">SUM(O186:O190)</f>
        <v>5512470</v>
      </c>
      <c r="P185" s="86">
        <f t="shared" si="14"/>
        <v>5385114.6399999997</v>
      </c>
      <c r="Q185" s="86">
        <f t="shared" si="14"/>
        <v>17661756.800000001</v>
      </c>
      <c r="R185" s="86">
        <f t="shared" si="14"/>
        <v>4947079.54</v>
      </c>
      <c r="S185" s="86">
        <f t="shared" si="14"/>
        <v>4818814</v>
      </c>
      <c r="T185" s="86">
        <f t="shared" si="14"/>
        <v>4529814</v>
      </c>
    </row>
    <row r="186" spans="1:20" ht="41.25" x14ac:dyDescent="0.25">
      <c r="A186" s="266"/>
      <c r="B186" s="130" t="s">
        <v>455</v>
      </c>
      <c r="C186" s="131" t="s">
        <v>456</v>
      </c>
      <c r="D186" s="131" t="s">
        <v>457</v>
      </c>
      <c r="E186" s="136"/>
      <c r="F186" s="3"/>
      <c r="G186" s="3"/>
      <c r="H186" s="147" t="s">
        <v>160</v>
      </c>
      <c r="I186" s="3" t="s">
        <v>269</v>
      </c>
      <c r="J186" s="3" t="s">
        <v>301</v>
      </c>
      <c r="K186" s="51" t="s">
        <v>153</v>
      </c>
      <c r="L186" s="52" t="s">
        <v>88</v>
      </c>
      <c r="M186" s="52" t="s">
        <v>166</v>
      </c>
      <c r="N186" s="52" t="s">
        <v>106</v>
      </c>
      <c r="O186" s="84">
        <v>4948470</v>
      </c>
      <c r="P186" s="84">
        <v>4948470</v>
      </c>
      <c r="Q186" s="84">
        <v>4160896.2</v>
      </c>
      <c r="R186" s="84">
        <v>4194079.54</v>
      </c>
      <c r="S186" s="84">
        <v>4065814</v>
      </c>
      <c r="T186" s="84">
        <v>4065814</v>
      </c>
    </row>
    <row r="187" spans="1:20" ht="41.25" x14ac:dyDescent="0.25">
      <c r="A187" s="266"/>
      <c r="B187" s="141"/>
      <c r="C187" s="5"/>
      <c r="D187" s="5"/>
      <c r="E187" s="136"/>
      <c r="F187" s="3"/>
      <c r="G187" s="3"/>
      <c r="H187" s="149" t="s">
        <v>347</v>
      </c>
      <c r="I187" s="98"/>
      <c r="J187" s="98" t="s">
        <v>348</v>
      </c>
      <c r="K187" s="51" t="s">
        <v>153</v>
      </c>
      <c r="L187" s="52" t="s">
        <v>88</v>
      </c>
      <c r="M187" s="52" t="s">
        <v>581</v>
      </c>
      <c r="N187" s="52" t="s">
        <v>106</v>
      </c>
      <c r="O187" s="197">
        <v>0</v>
      </c>
      <c r="P187" s="197">
        <v>0</v>
      </c>
      <c r="Q187" s="84">
        <v>12747860.6</v>
      </c>
      <c r="R187" s="84">
        <v>0</v>
      </c>
      <c r="S187" s="84">
        <v>0</v>
      </c>
      <c r="T187" s="84">
        <v>0</v>
      </c>
    </row>
    <row r="188" spans="1:20" x14ac:dyDescent="0.25">
      <c r="A188" s="266"/>
      <c r="B188" s="141"/>
      <c r="C188" s="5"/>
      <c r="D188" s="5"/>
      <c r="E188" s="136"/>
      <c r="F188" s="3"/>
      <c r="G188" s="3"/>
      <c r="H188" s="136"/>
      <c r="I188" s="3"/>
      <c r="J188" s="3"/>
      <c r="K188" s="51" t="s">
        <v>153</v>
      </c>
      <c r="L188" s="52" t="s">
        <v>88</v>
      </c>
      <c r="M188" s="52" t="s">
        <v>169</v>
      </c>
      <c r="N188" s="52" t="s">
        <v>106</v>
      </c>
      <c r="O188" s="197">
        <v>0</v>
      </c>
      <c r="P188" s="197">
        <v>0</v>
      </c>
      <c r="Q188" s="84">
        <v>0</v>
      </c>
      <c r="R188" s="84">
        <f>5000000-5000000</f>
        <v>0</v>
      </c>
      <c r="S188" s="84">
        <v>0</v>
      </c>
      <c r="T188" s="84">
        <v>0</v>
      </c>
    </row>
    <row r="189" spans="1:20" x14ac:dyDescent="0.25">
      <c r="A189" s="266"/>
      <c r="B189" s="141"/>
      <c r="C189" s="5"/>
      <c r="D189" s="5"/>
      <c r="E189" s="136"/>
      <c r="F189" s="3"/>
      <c r="G189" s="3"/>
      <c r="H189" s="136"/>
      <c r="I189" s="3"/>
      <c r="J189" s="3"/>
      <c r="K189" s="51" t="s">
        <v>153</v>
      </c>
      <c r="L189" s="52" t="s">
        <v>88</v>
      </c>
      <c r="M189" s="52" t="s">
        <v>167</v>
      </c>
      <c r="N189" s="52" t="s">
        <v>62</v>
      </c>
      <c r="O189" s="84">
        <v>264000</v>
      </c>
      <c r="P189" s="84">
        <v>261952.54</v>
      </c>
      <c r="Q189" s="84">
        <v>553000</v>
      </c>
      <c r="R189" s="84">
        <v>553000</v>
      </c>
      <c r="S189" s="84">
        <v>553000</v>
      </c>
      <c r="T189" s="84">
        <v>364000</v>
      </c>
    </row>
    <row r="190" spans="1:20" x14ac:dyDescent="0.25">
      <c r="A190" s="266"/>
      <c r="B190" s="141"/>
      <c r="C190" s="5"/>
      <c r="D190" s="5"/>
      <c r="E190" s="136"/>
      <c r="F190" s="3"/>
      <c r="G190" s="3"/>
      <c r="H190" s="136"/>
      <c r="I190" s="3"/>
      <c r="J190" s="3"/>
      <c r="K190" s="51" t="s">
        <v>153</v>
      </c>
      <c r="L190" s="52" t="s">
        <v>88</v>
      </c>
      <c r="M190" s="52" t="s">
        <v>168</v>
      </c>
      <c r="N190" s="52" t="s">
        <v>62</v>
      </c>
      <c r="O190" s="84">
        <v>300000</v>
      </c>
      <c r="P190" s="84">
        <v>174692.1</v>
      </c>
      <c r="Q190" s="84">
        <v>200000</v>
      </c>
      <c r="R190" s="84">
        <v>200000</v>
      </c>
      <c r="S190" s="84">
        <v>200000</v>
      </c>
      <c r="T190" s="84">
        <v>100000</v>
      </c>
    </row>
    <row r="191" spans="1:20" ht="66" x14ac:dyDescent="0.25">
      <c r="A191" s="279" t="s">
        <v>27</v>
      </c>
      <c r="B191" s="128" t="s">
        <v>372</v>
      </c>
      <c r="C191" s="129" t="s">
        <v>458</v>
      </c>
      <c r="D191" s="129" t="s">
        <v>374</v>
      </c>
      <c r="E191" s="166" t="s">
        <v>465</v>
      </c>
      <c r="F191" s="126" t="s">
        <v>380</v>
      </c>
      <c r="G191" s="126" t="s">
        <v>466</v>
      </c>
      <c r="H191" s="136" t="s">
        <v>243</v>
      </c>
      <c r="I191" s="3" t="s">
        <v>273</v>
      </c>
      <c r="J191" s="3" t="s">
        <v>300</v>
      </c>
      <c r="K191" s="51"/>
      <c r="L191" s="52"/>
      <c r="M191" s="38"/>
      <c r="N191" s="52"/>
      <c r="O191" s="53">
        <f>O192+O193</f>
        <v>500000</v>
      </c>
      <c r="P191" s="53">
        <f t="shared" ref="P191:T191" si="15">P192+P193</f>
        <v>499872.65</v>
      </c>
      <c r="Q191" s="53">
        <f t="shared" si="15"/>
        <v>1467500</v>
      </c>
      <c r="R191" s="53">
        <f t="shared" si="15"/>
        <v>500000</v>
      </c>
      <c r="S191" s="53">
        <f t="shared" si="15"/>
        <v>500000</v>
      </c>
      <c r="T191" s="53">
        <f t="shared" si="15"/>
        <v>0</v>
      </c>
    </row>
    <row r="192" spans="1:20" ht="41.25" x14ac:dyDescent="0.25">
      <c r="A192" s="280"/>
      <c r="B192" s="130" t="s">
        <v>459</v>
      </c>
      <c r="C192" s="131" t="s">
        <v>460</v>
      </c>
      <c r="D192" s="131" t="s">
        <v>461</v>
      </c>
      <c r="E192" s="136"/>
      <c r="F192" s="3"/>
      <c r="G192" s="3"/>
      <c r="H192" s="149" t="s">
        <v>128</v>
      </c>
      <c r="I192" s="98" t="s">
        <v>276</v>
      </c>
      <c r="J192" s="98" t="s">
        <v>250</v>
      </c>
      <c r="K192" s="28" t="s">
        <v>122</v>
      </c>
      <c r="L192" s="12" t="s">
        <v>153</v>
      </c>
      <c r="M192" s="38" t="s">
        <v>170</v>
      </c>
      <c r="N192" s="52" t="s">
        <v>62</v>
      </c>
      <c r="O192" s="7">
        <v>500000</v>
      </c>
      <c r="P192" s="7">
        <v>499872.65</v>
      </c>
      <c r="Q192" s="7">
        <v>1467500</v>
      </c>
      <c r="R192" s="7">
        <v>500000</v>
      </c>
      <c r="S192" s="7">
        <v>500000</v>
      </c>
      <c r="T192" s="87">
        <v>0</v>
      </c>
    </row>
    <row r="193" spans="1:20" ht="33" x14ac:dyDescent="0.25">
      <c r="A193" s="281"/>
      <c r="B193" s="130" t="s">
        <v>462</v>
      </c>
      <c r="C193" s="131" t="s">
        <v>463</v>
      </c>
      <c r="D193" s="131" t="s">
        <v>464</v>
      </c>
      <c r="E193" s="136"/>
      <c r="F193" s="3"/>
      <c r="G193" s="3"/>
      <c r="H193" s="149"/>
      <c r="I193" s="98"/>
      <c r="J193" s="98"/>
      <c r="K193" s="28"/>
      <c r="L193" s="12"/>
      <c r="M193" s="12"/>
      <c r="N193" s="12"/>
      <c r="O193" s="7"/>
      <c r="P193" s="7"/>
      <c r="Q193" s="7"/>
      <c r="R193" s="7"/>
      <c r="S193" s="7"/>
      <c r="T193" s="87"/>
    </row>
    <row r="194" spans="1:20" ht="49.5" x14ac:dyDescent="0.25">
      <c r="A194" s="266" t="s">
        <v>19</v>
      </c>
      <c r="B194" s="128" t="s">
        <v>372</v>
      </c>
      <c r="C194" s="129" t="s">
        <v>467</v>
      </c>
      <c r="D194" s="129" t="s">
        <v>374</v>
      </c>
      <c r="E194" s="136"/>
      <c r="F194" s="3"/>
      <c r="G194" s="3"/>
      <c r="H194" s="136" t="s">
        <v>243</v>
      </c>
      <c r="I194" s="3" t="s">
        <v>274</v>
      </c>
      <c r="J194" s="3" t="s">
        <v>300</v>
      </c>
      <c r="K194" s="28"/>
      <c r="L194" s="12"/>
      <c r="M194" s="12"/>
      <c r="N194" s="12"/>
      <c r="O194" s="107">
        <f t="shared" ref="O194:T194" si="16">SUM(O195:O216)</f>
        <v>49731745</v>
      </c>
      <c r="P194" s="107">
        <f t="shared" si="16"/>
        <v>49157723.459999993</v>
      </c>
      <c r="Q194" s="107">
        <f t="shared" si="16"/>
        <v>63271545.440000005</v>
      </c>
      <c r="R194" s="107">
        <f t="shared" si="16"/>
        <v>58089919.999999993</v>
      </c>
      <c r="S194" s="107">
        <f t="shared" si="16"/>
        <v>36532750</v>
      </c>
      <c r="T194" s="107">
        <f t="shared" si="16"/>
        <v>33264890</v>
      </c>
    </row>
    <row r="195" spans="1:20" ht="41.25" x14ac:dyDescent="0.25">
      <c r="A195" s="266"/>
      <c r="B195" s="140"/>
      <c r="C195" s="4"/>
      <c r="D195" s="4"/>
      <c r="E195" s="136"/>
      <c r="F195" s="3"/>
      <c r="G195" s="3"/>
      <c r="H195" s="147" t="s">
        <v>272</v>
      </c>
      <c r="I195" s="98" t="s">
        <v>270</v>
      </c>
      <c r="J195" s="98" t="s">
        <v>301</v>
      </c>
      <c r="K195" s="51" t="s">
        <v>153</v>
      </c>
      <c r="L195" s="52" t="s">
        <v>88</v>
      </c>
      <c r="M195" s="116" t="s">
        <v>172</v>
      </c>
      <c r="N195" s="224" t="s">
        <v>62</v>
      </c>
      <c r="O195" s="117">
        <v>12475390</v>
      </c>
      <c r="P195" s="117">
        <v>12474047.939999999</v>
      </c>
      <c r="Q195" s="93">
        <v>15890067.9</v>
      </c>
      <c r="R195" s="93">
        <v>9023100</v>
      </c>
      <c r="S195" s="93">
        <v>9797510</v>
      </c>
      <c r="T195" s="93">
        <v>10179090</v>
      </c>
    </row>
    <row r="196" spans="1:20" ht="41.25" x14ac:dyDescent="0.25">
      <c r="A196" s="266"/>
      <c r="B196" s="140"/>
      <c r="C196" s="4"/>
      <c r="D196" s="4"/>
      <c r="E196" s="136"/>
      <c r="F196" s="3"/>
      <c r="G196" s="3"/>
      <c r="H196" s="149" t="s">
        <v>128</v>
      </c>
      <c r="I196" s="98" t="s">
        <v>337</v>
      </c>
      <c r="J196" s="98" t="s">
        <v>250</v>
      </c>
      <c r="K196" s="51" t="s">
        <v>153</v>
      </c>
      <c r="L196" s="52" t="s">
        <v>88</v>
      </c>
      <c r="M196" s="116" t="s">
        <v>173</v>
      </c>
      <c r="N196" s="224" t="s">
        <v>62</v>
      </c>
      <c r="O196" s="117">
        <v>3514520</v>
      </c>
      <c r="P196" s="117">
        <v>3513399.7</v>
      </c>
      <c r="Q196" s="93">
        <v>3757234.7</v>
      </c>
      <c r="R196" s="93">
        <v>4304200</v>
      </c>
      <c r="S196" s="93">
        <v>4304200</v>
      </c>
      <c r="T196" s="93">
        <v>4304200</v>
      </c>
    </row>
    <row r="197" spans="1:20" ht="41.25" x14ac:dyDescent="0.25">
      <c r="A197" s="266"/>
      <c r="B197" s="140"/>
      <c r="C197" s="4"/>
      <c r="D197" s="4"/>
      <c r="E197" s="136"/>
      <c r="F197" s="3"/>
      <c r="G197" s="3"/>
      <c r="H197" s="15" t="s">
        <v>271</v>
      </c>
      <c r="I197" s="16"/>
      <c r="J197" s="17" t="s">
        <v>311</v>
      </c>
      <c r="K197" s="51" t="s">
        <v>153</v>
      </c>
      <c r="L197" s="52" t="s">
        <v>88</v>
      </c>
      <c r="M197" s="116" t="s">
        <v>174</v>
      </c>
      <c r="N197" s="224" t="s">
        <v>62</v>
      </c>
      <c r="O197" s="117">
        <v>492000</v>
      </c>
      <c r="P197" s="117">
        <v>488634.66</v>
      </c>
      <c r="Q197" s="93">
        <v>775600</v>
      </c>
      <c r="R197" s="93">
        <v>775600</v>
      </c>
      <c r="S197" s="93">
        <v>775600</v>
      </c>
      <c r="T197" s="93">
        <v>775600</v>
      </c>
    </row>
    <row r="198" spans="1:20" x14ac:dyDescent="0.25">
      <c r="A198" s="266"/>
      <c r="B198" s="140"/>
      <c r="C198" s="4"/>
      <c r="D198" s="4"/>
      <c r="E198" s="136"/>
      <c r="F198" s="3"/>
      <c r="G198" s="3"/>
      <c r="H198" s="147"/>
      <c r="I198" s="3"/>
      <c r="J198" s="3"/>
      <c r="K198" s="51" t="s">
        <v>153</v>
      </c>
      <c r="L198" s="52" t="s">
        <v>88</v>
      </c>
      <c r="M198" s="116" t="s">
        <v>175</v>
      </c>
      <c r="N198" s="224" t="s">
        <v>62</v>
      </c>
      <c r="O198" s="117">
        <v>698500</v>
      </c>
      <c r="P198" s="117">
        <v>698500</v>
      </c>
      <c r="Q198" s="93">
        <v>1700000</v>
      </c>
      <c r="R198" s="93">
        <v>700000</v>
      </c>
      <c r="S198" s="93">
        <v>700000</v>
      </c>
      <c r="T198" s="93">
        <v>700000</v>
      </c>
    </row>
    <row r="199" spans="1:20" x14ac:dyDescent="0.25">
      <c r="A199" s="266"/>
      <c r="B199" s="140"/>
      <c r="C199" s="4"/>
      <c r="D199" s="4"/>
      <c r="E199" s="136"/>
      <c r="F199" s="3"/>
      <c r="G199" s="3"/>
      <c r="H199" s="147"/>
      <c r="I199" s="3"/>
      <c r="J199" s="3"/>
      <c r="K199" s="51" t="s">
        <v>153</v>
      </c>
      <c r="L199" s="52" t="s">
        <v>88</v>
      </c>
      <c r="M199" s="116" t="s">
        <v>575</v>
      </c>
      <c r="N199" s="224" t="s">
        <v>62</v>
      </c>
      <c r="O199" s="117">
        <v>0</v>
      </c>
      <c r="P199" s="117">
        <v>0</v>
      </c>
      <c r="Q199" s="93">
        <v>2000000</v>
      </c>
      <c r="R199" s="93">
        <v>0</v>
      </c>
      <c r="S199" s="93">
        <v>0</v>
      </c>
      <c r="T199" s="93">
        <v>0</v>
      </c>
    </row>
    <row r="200" spans="1:20" x14ac:dyDescent="0.25">
      <c r="A200" s="266"/>
      <c r="B200" s="140"/>
      <c r="C200" s="4"/>
      <c r="D200" s="4"/>
      <c r="E200" s="136"/>
      <c r="F200" s="3"/>
      <c r="G200" s="3"/>
      <c r="H200" s="147"/>
      <c r="I200" s="3"/>
      <c r="J200" s="3"/>
      <c r="K200" s="51" t="s">
        <v>153</v>
      </c>
      <c r="L200" s="52" t="s">
        <v>88</v>
      </c>
      <c r="M200" s="116" t="s">
        <v>176</v>
      </c>
      <c r="N200" s="224" t="s">
        <v>62</v>
      </c>
      <c r="O200" s="117">
        <v>8752288</v>
      </c>
      <c r="P200" s="117">
        <v>8640100.1699999999</v>
      </c>
      <c r="Q200" s="93">
        <v>8903919.6799999997</v>
      </c>
      <c r="R200" s="93">
        <v>6306500</v>
      </c>
      <c r="S200" s="93">
        <v>6306500</v>
      </c>
      <c r="T200" s="93">
        <v>4206500</v>
      </c>
    </row>
    <row r="201" spans="1:20" x14ac:dyDescent="0.25">
      <c r="A201" s="266"/>
      <c r="B201" s="140"/>
      <c r="C201" s="4"/>
      <c r="D201" s="4"/>
      <c r="E201" s="136"/>
      <c r="F201" s="3"/>
      <c r="G201" s="3"/>
      <c r="H201" s="147"/>
      <c r="I201" s="3"/>
      <c r="J201" s="3"/>
      <c r="K201" s="51" t="s">
        <v>153</v>
      </c>
      <c r="L201" s="52" t="s">
        <v>88</v>
      </c>
      <c r="M201" s="116" t="s">
        <v>177</v>
      </c>
      <c r="N201" s="224" t="s">
        <v>62</v>
      </c>
      <c r="O201" s="117">
        <v>1530160</v>
      </c>
      <c r="P201" s="117">
        <v>1453957.41</v>
      </c>
      <c r="Q201" s="93">
        <v>100000</v>
      </c>
      <c r="R201" s="93">
        <v>600000</v>
      </c>
      <c r="S201" s="93">
        <v>0</v>
      </c>
      <c r="T201" s="93">
        <v>0</v>
      </c>
    </row>
    <row r="202" spans="1:20" x14ac:dyDescent="0.25">
      <c r="A202" s="266"/>
      <c r="B202" s="140"/>
      <c r="C202" s="4"/>
      <c r="D202" s="4"/>
      <c r="E202" s="136"/>
      <c r="F202" s="3"/>
      <c r="G202" s="3"/>
      <c r="H202" s="136"/>
      <c r="I202" s="3"/>
      <c r="J202" s="3"/>
      <c r="K202" s="51" t="s">
        <v>153</v>
      </c>
      <c r="L202" s="52" t="s">
        <v>88</v>
      </c>
      <c r="M202" s="116" t="s">
        <v>178</v>
      </c>
      <c r="N202" s="224" t="s">
        <v>62</v>
      </c>
      <c r="O202" s="117">
        <v>36360</v>
      </c>
      <c r="P202" s="117">
        <v>36341.01</v>
      </c>
      <c r="Q202" s="93">
        <v>590071.94999999995</v>
      </c>
      <c r="R202" s="93">
        <v>100000</v>
      </c>
      <c r="S202" s="93">
        <v>0</v>
      </c>
      <c r="T202" s="93">
        <v>0</v>
      </c>
    </row>
    <row r="203" spans="1:20" x14ac:dyDescent="0.25">
      <c r="A203" s="266"/>
      <c r="B203" s="140"/>
      <c r="C203" s="4"/>
      <c r="D203" s="4"/>
      <c r="E203" s="136"/>
      <c r="F203" s="3"/>
      <c r="G203" s="3"/>
      <c r="H203" s="136"/>
      <c r="I203" s="3"/>
      <c r="J203" s="3"/>
      <c r="K203" s="51" t="s">
        <v>153</v>
      </c>
      <c r="L203" s="52" t="s">
        <v>88</v>
      </c>
      <c r="M203" s="116" t="s">
        <v>576</v>
      </c>
      <c r="N203" s="224" t="s">
        <v>62</v>
      </c>
      <c r="O203" s="117">
        <v>0</v>
      </c>
      <c r="P203" s="117">
        <v>0</v>
      </c>
      <c r="Q203" s="93">
        <v>779321.85</v>
      </c>
      <c r="R203" s="93">
        <v>278500</v>
      </c>
      <c r="S203" s="93">
        <v>0</v>
      </c>
      <c r="T203" s="93">
        <v>0</v>
      </c>
    </row>
    <row r="204" spans="1:20" x14ac:dyDescent="0.25">
      <c r="A204" s="266"/>
      <c r="B204" s="140"/>
      <c r="C204" s="4"/>
      <c r="D204" s="4"/>
      <c r="E204" s="136"/>
      <c r="F204" s="3"/>
      <c r="G204" s="3"/>
      <c r="H204" s="136"/>
      <c r="I204" s="3"/>
      <c r="J204" s="3"/>
      <c r="K204" s="51" t="s">
        <v>153</v>
      </c>
      <c r="L204" s="52" t="s">
        <v>88</v>
      </c>
      <c r="M204" s="116" t="s">
        <v>179</v>
      </c>
      <c r="N204" s="224" t="s">
        <v>108</v>
      </c>
      <c r="O204" s="117">
        <v>249000</v>
      </c>
      <c r="P204" s="117">
        <v>249000</v>
      </c>
      <c r="Q204" s="93">
        <v>0</v>
      </c>
      <c r="R204" s="93">
        <v>0</v>
      </c>
      <c r="S204" s="93">
        <v>0</v>
      </c>
      <c r="T204" s="93">
        <v>0</v>
      </c>
    </row>
    <row r="205" spans="1:20" x14ac:dyDescent="0.25">
      <c r="A205" s="266"/>
      <c r="B205" s="140"/>
      <c r="C205" s="4"/>
      <c r="D205" s="4"/>
      <c r="E205" s="136"/>
      <c r="F205" s="3"/>
      <c r="G205" s="3"/>
      <c r="H205" s="136"/>
      <c r="I205" s="3"/>
      <c r="J205" s="3"/>
      <c r="K205" s="51" t="s">
        <v>153</v>
      </c>
      <c r="L205" s="52" t="s">
        <v>88</v>
      </c>
      <c r="M205" s="116" t="s">
        <v>180</v>
      </c>
      <c r="N205" s="224" t="s">
        <v>62</v>
      </c>
      <c r="O205" s="117">
        <v>348890</v>
      </c>
      <c r="P205" s="117">
        <v>346393.77</v>
      </c>
      <c r="Q205" s="93">
        <v>442496</v>
      </c>
      <c r="R205" s="93">
        <v>0</v>
      </c>
      <c r="S205" s="93">
        <v>0</v>
      </c>
      <c r="T205" s="93">
        <v>0</v>
      </c>
    </row>
    <row r="206" spans="1:20" x14ac:dyDescent="0.25">
      <c r="A206" s="266"/>
      <c r="B206" s="140"/>
      <c r="C206" s="4"/>
      <c r="D206" s="4"/>
      <c r="E206" s="136"/>
      <c r="F206" s="3"/>
      <c r="G206" s="3"/>
      <c r="H206" s="136"/>
      <c r="I206" s="3"/>
      <c r="J206" s="3"/>
      <c r="K206" s="51" t="s">
        <v>153</v>
      </c>
      <c r="L206" s="52" t="s">
        <v>88</v>
      </c>
      <c r="M206" s="116" t="s">
        <v>545</v>
      </c>
      <c r="N206" s="224" t="s">
        <v>62</v>
      </c>
      <c r="O206" s="117">
        <v>396410</v>
      </c>
      <c r="P206" s="117">
        <v>389807.71</v>
      </c>
      <c r="Q206" s="93">
        <v>1000000</v>
      </c>
      <c r="R206" s="93">
        <v>0</v>
      </c>
      <c r="S206" s="93">
        <v>0</v>
      </c>
      <c r="T206" s="93">
        <v>0</v>
      </c>
    </row>
    <row r="207" spans="1:20" x14ac:dyDescent="0.25">
      <c r="A207" s="266"/>
      <c r="B207" s="140"/>
      <c r="C207" s="4"/>
      <c r="D207" s="4"/>
      <c r="E207" s="136"/>
      <c r="F207" s="3"/>
      <c r="G207" s="3"/>
      <c r="H207" s="136"/>
      <c r="I207" s="3"/>
      <c r="J207" s="3"/>
      <c r="K207" s="51" t="s">
        <v>153</v>
      </c>
      <c r="L207" s="52" t="s">
        <v>88</v>
      </c>
      <c r="M207" s="116" t="s">
        <v>181</v>
      </c>
      <c r="N207" s="224" t="s">
        <v>62</v>
      </c>
      <c r="O207" s="117">
        <v>710734</v>
      </c>
      <c r="P207" s="117">
        <v>710727.51</v>
      </c>
      <c r="Q207" s="93">
        <v>800000</v>
      </c>
      <c r="R207" s="93">
        <v>550000</v>
      </c>
      <c r="S207" s="93">
        <v>0</v>
      </c>
      <c r="T207" s="93">
        <v>0</v>
      </c>
    </row>
    <row r="208" spans="1:20" x14ac:dyDescent="0.25">
      <c r="A208" s="266"/>
      <c r="B208" s="140"/>
      <c r="C208" s="4"/>
      <c r="D208" s="4"/>
      <c r="E208" s="136"/>
      <c r="F208" s="3"/>
      <c r="G208" s="3"/>
      <c r="H208" s="136"/>
      <c r="I208" s="3"/>
      <c r="J208" s="3"/>
      <c r="K208" s="51" t="s">
        <v>153</v>
      </c>
      <c r="L208" s="52" t="s">
        <v>88</v>
      </c>
      <c r="M208" s="116" t="s">
        <v>182</v>
      </c>
      <c r="N208" s="224" t="s">
        <v>62</v>
      </c>
      <c r="O208" s="117">
        <v>9092063</v>
      </c>
      <c r="P208" s="117">
        <v>8908170.8699999992</v>
      </c>
      <c r="Q208" s="93">
        <v>2826826.6</v>
      </c>
      <c r="R208" s="93">
        <v>0</v>
      </c>
      <c r="S208" s="93">
        <v>0</v>
      </c>
      <c r="T208" s="93">
        <v>0</v>
      </c>
    </row>
    <row r="209" spans="1:20" x14ac:dyDescent="0.25">
      <c r="A209" s="266"/>
      <c r="B209" s="140"/>
      <c r="C209" s="4"/>
      <c r="D209" s="4"/>
      <c r="E209" s="136"/>
      <c r="F209" s="3"/>
      <c r="G209" s="3"/>
      <c r="H209" s="136"/>
      <c r="I209" s="3"/>
      <c r="J209" s="3"/>
      <c r="K209" s="51" t="s">
        <v>153</v>
      </c>
      <c r="L209" s="52" t="s">
        <v>88</v>
      </c>
      <c r="M209" s="116" t="s">
        <v>183</v>
      </c>
      <c r="N209" s="224" t="s">
        <v>62</v>
      </c>
      <c r="O209" s="117">
        <v>3969170</v>
      </c>
      <c r="P209" s="117">
        <v>3867647.61</v>
      </c>
      <c r="Q209" s="93">
        <v>4004096.72</v>
      </c>
      <c r="R209" s="93">
        <v>4025340</v>
      </c>
      <c r="S209" s="93">
        <v>4025340</v>
      </c>
      <c r="T209" s="93">
        <v>2475900</v>
      </c>
    </row>
    <row r="210" spans="1:20" x14ac:dyDescent="0.25">
      <c r="A210" s="266"/>
      <c r="B210" s="140"/>
      <c r="C210" s="4"/>
      <c r="D210" s="4"/>
      <c r="E210" s="136"/>
      <c r="F210" s="3"/>
      <c r="G210" s="3"/>
      <c r="H210" s="136"/>
      <c r="I210" s="3"/>
      <c r="J210" s="3"/>
      <c r="K210" s="51" t="s">
        <v>153</v>
      </c>
      <c r="L210" s="52" t="s">
        <v>88</v>
      </c>
      <c r="M210" s="116" t="s">
        <v>184</v>
      </c>
      <c r="N210" s="224" t="s">
        <v>62</v>
      </c>
      <c r="O210" s="117">
        <v>6560120</v>
      </c>
      <c r="P210" s="117">
        <v>6474916.6600000001</v>
      </c>
      <c r="Q210" s="93">
        <v>4976808.68</v>
      </c>
      <c r="R210" s="93">
        <v>0</v>
      </c>
      <c r="S210" s="93">
        <v>0</v>
      </c>
      <c r="T210" s="93">
        <v>0</v>
      </c>
    </row>
    <row r="211" spans="1:20" x14ac:dyDescent="0.25">
      <c r="A211" s="266"/>
      <c r="B211" s="140"/>
      <c r="C211" s="4"/>
      <c r="D211" s="4"/>
      <c r="E211" s="136"/>
      <c r="F211" s="3"/>
      <c r="G211" s="3"/>
      <c r="H211" s="136"/>
      <c r="I211" s="3"/>
      <c r="J211" s="3"/>
      <c r="K211" s="51" t="s">
        <v>153</v>
      </c>
      <c r="L211" s="52" t="s">
        <v>88</v>
      </c>
      <c r="M211" s="116" t="s">
        <v>185</v>
      </c>
      <c r="N211" s="224" t="s">
        <v>62</v>
      </c>
      <c r="O211" s="117">
        <v>61970</v>
      </c>
      <c r="P211" s="117">
        <v>61952.82</v>
      </c>
      <c r="Q211" s="93">
        <v>0</v>
      </c>
      <c r="R211" s="93">
        <v>0</v>
      </c>
      <c r="S211" s="93">
        <v>0</v>
      </c>
      <c r="T211" s="93">
        <v>0</v>
      </c>
    </row>
    <row r="212" spans="1:20" x14ac:dyDescent="0.25">
      <c r="A212" s="266"/>
      <c r="B212" s="140"/>
      <c r="C212" s="4"/>
      <c r="D212" s="4"/>
      <c r="E212" s="136"/>
      <c r="F212" s="3"/>
      <c r="G212" s="3"/>
      <c r="H212" s="136"/>
      <c r="I212" s="3"/>
      <c r="J212" s="3"/>
      <c r="K212" s="51" t="s">
        <v>153</v>
      </c>
      <c r="L212" s="52" t="s">
        <v>88</v>
      </c>
      <c r="M212" s="116" t="s">
        <v>186</v>
      </c>
      <c r="N212" s="224" t="s">
        <v>62</v>
      </c>
      <c r="O212" s="117">
        <v>844170</v>
      </c>
      <c r="P212" s="117">
        <v>844125.62</v>
      </c>
      <c r="Q212" s="93">
        <v>1768101.36</v>
      </c>
      <c r="R212" s="93">
        <v>0</v>
      </c>
      <c r="S212" s="93">
        <v>0</v>
      </c>
      <c r="T212" s="93">
        <v>0</v>
      </c>
    </row>
    <row r="213" spans="1:20" x14ac:dyDescent="0.25">
      <c r="A213" s="266"/>
      <c r="B213" s="140"/>
      <c r="C213" s="4"/>
      <c r="D213" s="4"/>
      <c r="E213" s="136"/>
      <c r="F213" s="3"/>
      <c r="G213" s="3"/>
      <c r="H213" s="136"/>
      <c r="I213" s="3"/>
      <c r="J213" s="3"/>
      <c r="K213" s="51" t="s">
        <v>153</v>
      </c>
      <c r="L213" s="52" t="s">
        <v>88</v>
      </c>
      <c r="M213" s="116" t="s">
        <v>577</v>
      </c>
      <c r="N213" s="224" t="s">
        <v>62</v>
      </c>
      <c r="O213" s="117">
        <v>0</v>
      </c>
      <c r="P213" s="117">
        <v>0</v>
      </c>
      <c r="Q213" s="93">
        <v>432230</v>
      </c>
      <c r="R213" s="93">
        <v>6763635.3799999999</v>
      </c>
      <c r="S213" s="93">
        <v>0</v>
      </c>
      <c r="T213" s="93">
        <v>0</v>
      </c>
    </row>
    <row r="214" spans="1:20" x14ac:dyDescent="0.25">
      <c r="A214" s="266"/>
      <c r="B214" s="140"/>
      <c r="C214" s="4"/>
      <c r="D214" s="4"/>
      <c r="E214" s="136"/>
      <c r="F214" s="3"/>
      <c r="G214" s="3"/>
      <c r="H214" s="136"/>
      <c r="I214" s="3"/>
      <c r="J214" s="3"/>
      <c r="K214" s="51" t="s">
        <v>153</v>
      </c>
      <c r="L214" s="52" t="s">
        <v>88</v>
      </c>
      <c r="M214" s="116" t="s">
        <v>578</v>
      </c>
      <c r="N214" s="224" t="s">
        <v>62</v>
      </c>
      <c r="O214" s="117">
        <v>0</v>
      </c>
      <c r="P214" s="117">
        <v>0</v>
      </c>
      <c r="Q214" s="93">
        <v>8205773</v>
      </c>
      <c r="R214" s="196">
        <v>10623600</v>
      </c>
      <c r="S214" s="196">
        <v>10623600</v>
      </c>
      <c r="T214" s="196">
        <v>10623600</v>
      </c>
    </row>
    <row r="215" spans="1:20" x14ac:dyDescent="0.25">
      <c r="A215" s="266"/>
      <c r="B215" s="140"/>
      <c r="C215" s="4"/>
      <c r="D215" s="4"/>
      <c r="E215" s="136"/>
      <c r="F215" s="3"/>
      <c r="G215" s="3"/>
      <c r="H215" s="136"/>
      <c r="I215" s="3"/>
      <c r="J215" s="3"/>
      <c r="K215" s="51" t="s">
        <v>153</v>
      </c>
      <c r="L215" s="52" t="s">
        <v>88</v>
      </c>
      <c r="M215" s="116" t="s">
        <v>579</v>
      </c>
      <c r="N215" s="224" t="s">
        <v>62</v>
      </c>
      <c r="O215" s="117">
        <v>0</v>
      </c>
      <c r="P215" s="117">
        <v>0</v>
      </c>
      <c r="Q215" s="93">
        <v>216110</v>
      </c>
      <c r="R215" s="93">
        <v>5461344.6200000001</v>
      </c>
      <c r="S215" s="93">
        <v>0</v>
      </c>
      <c r="T215" s="93">
        <v>0</v>
      </c>
    </row>
    <row r="216" spans="1:20" x14ac:dyDescent="0.25">
      <c r="A216" s="266"/>
      <c r="B216" s="140"/>
      <c r="C216" s="4"/>
      <c r="D216" s="4"/>
      <c r="E216" s="136"/>
      <c r="F216" s="3"/>
      <c r="G216" s="3"/>
      <c r="H216" s="136"/>
      <c r="I216" s="3"/>
      <c r="J216" s="3"/>
      <c r="K216" s="51" t="s">
        <v>153</v>
      </c>
      <c r="L216" s="52" t="s">
        <v>88</v>
      </c>
      <c r="M216" s="116" t="s">
        <v>580</v>
      </c>
      <c r="N216" s="224" t="s">
        <v>62</v>
      </c>
      <c r="O216" s="117">
        <v>0</v>
      </c>
      <c r="P216" s="117">
        <v>0</v>
      </c>
      <c r="Q216" s="93">
        <v>4102887</v>
      </c>
      <c r="R216" s="93">
        <v>8578100</v>
      </c>
      <c r="S216" s="93">
        <v>0</v>
      </c>
      <c r="T216" s="93">
        <v>0</v>
      </c>
    </row>
    <row r="217" spans="1:20" ht="49.5" x14ac:dyDescent="0.25">
      <c r="A217" s="266" t="s">
        <v>340</v>
      </c>
      <c r="B217" s="128" t="s">
        <v>372</v>
      </c>
      <c r="C217" s="129" t="s">
        <v>468</v>
      </c>
      <c r="D217" s="129" t="s">
        <v>374</v>
      </c>
      <c r="E217" s="166" t="s">
        <v>473</v>
      </c>
      <c r="F217" s="126" t="s">
        <v>474</v>
      </c>
      <c r="G217" s="126" t="s">
        <v>475</v>
      </c>
      <c r="H217" s="136" t="s">
        <v>243</v>
      </c>
      <c r="I217" s="3" t="s">
        <v>341</v>
      </c>
      <c r="J217" s="3" t="s">
        <v>300</v>
      </c>
      <c r="K217" s="51"/>
      <c r="L217" s="52"/>
      <c r="M217" s="52"/>
      <c r="N217" s="52"/>
      <c r="O217" s="53">
        <f>SUM(O218:O222)</f>
        <v>1391574.17</v>
      </c>
      <c r="P217" s="53">
        <f t="shared" ref="P217:T217" si="17">SUM(P218:P222)</f>
        <v>1379726.33</v>
      </c>
      <c r="Q217" s="53">
        <f t="shared" si="17"/>
        <v>200000</v>
      </c>
      <c r="R217" s="53">
        <f t="shared" si="17"/>
        <v>500000</v>
      </c>
      <c r="S217" s="53">
        <f t="shared" si="17"/>
        <v>1000000</v>
      </c>
      <c r="T217" s="53">
        <f t="shared" si="17"/>
        <v>1000000</v>
      </c>
    </row>
    <row r="218" spans="1:20" ht="49.5" x14ac:dyDescent="0.25">
      <c r="A218" s="266"/>
      <c r="B218" s="130" t="s">
        <v>469</v>
      </c>
      <c r="C218" s="131" t="s">
        <v>460</v>
      </c>
      <c r="D218" s="131" t="s">
        <v>389</v>
      </c>
      <c r="E218" s="136"/>
      <c r="F218" s="3"/>
      <c r="G218" s="3"/>
      <c r="H218" s="136" t="s">
        <v>344</v>
      </c>
      <c r="I218" s="3"/>
      <c r="J218" s="3" t="s">
        <v>303</v>
      </c>
      <c r="K218" s="51" t="s">
        <v>55</v>
      </c>
      <c r="L218" s="52" t="s">
        <v>118</v>
      </c>
      <c r="M218" s="52" t="s">
        <v>165</v>
      </c>
      <c r="N218" s="52" t="s">
        <v>62</v>
      </c>
      <c r="O218" s="84">
        <v>991574.17</v>
      </c>
      <c r="P218" s="84">
        <v>989826.33</v>
      </c>
      <c r="Q218" s="84">
        <v>0</v>
      </c>
      <c r="R218" s="84">
        <v>500000</v>
      </c>
      <c r="S218" s="84">
        <v>0</v>
      </c>
      <c r="T218" s="84">
        <v>0</v>
      </c>
    </row>
    <row r="219" spans="1:20" ht="49.5" x14ac:dyDescent="0.25">
      <c r="A219" s="266"/>
      <c r="B219" s="130" t="s">
        <v>470</v>
      </c>
      <c r="C219" s="131" t="s">
        <v>471</v>
      </c>
      <c r="D219" s="131" t="s">
        <v>472</v>
      </c>
      <c r="E219" s="136"/>
      <c r="F219" s="3"/>
      <c r="G219" s="3"/>
      <c r="H219" s="136" t="s">
        <v>355</v>
      </c>
      <c r="I219" s="3"/>
      <c r="J219" s="3" t="s">
        <v>356</v>
      </c>
      <c r="K219" s="51" t="s">
        <v>153</v>
      </c>
      <c r="L219" s="52" t="s">
        <v>80</v>
      </c>
      <c r="M219" s="38" t="s">
        <v>187</v>
      </c>
      <c r="N219" s="52" t="s">
        <v>62</v>
      </c>
      <c r="O219" s="93">
        <v>400000</v>
      </c>
      <c r="P219" s="93">
        <v>389900</v>
      </c>
      <c r="Q219" s="93">
        <v>200000</v>
      </c>
      <c r="R219" s="93">
        <f>1000000-1000000</f>
        <v>0</v>
      </c>
      <c r="S219" s="93">
        <v>1000000</v>
      </c>
      <c r="T219" s="93">
        <v>1000000</v>
      </c>
    </row>
    <row r="220" spans="1:20" x14ac:dyDescent="0.25">
      <c r="A220" s="266"/>
      <c r="B220" s="140"/>
      <c r="C220" s="4"/>
      <c r="D220" s="4"/>
      <c r="E220" s="136"/>
      <c r="F220" s="3"/>
      <c r="G220" s="3"/>
      <c r="H220" s="136"/>
      <c r="I220" s="3"/>
      <c r="J220" s="3"/>
      <c r="K220" s="51"/>
      <c r="L220" s="52"/>
      <c r="M220" s="52"/>
      <c r="N220" s="52"/>
      <c r="O220" s="93"/>
      <c r="P220" s="93"/>
      <c r="Q220" s="93"/>
      <c r="R220" s="93"/>
      <c r="S220" s="93"/>
      <c r="T220" s="93"/>
    </row>
    <row r="221" spans="1:20" x14ac:dyDescent="0.25">
      <c r="A221" s="266"/>
      <c r="B221" s="140"/>
      <c r="C221" s="4"/>
      <c r="D221" s="4"/>
      <c r="E221" s="136"/>
      <c r="F221" s="3"/>
      <c r="G221" s="3"/>
      <c r="H221" s="136"/>
      <c r="I221" s="3"/>
      <c r="J221" s="3"/>
      <c r="K221" s="51"/>
      <c r="L221" s="52"/>
      <c r="M221" s="52"/>
      <c r="N221" s="52"/>
      <c r="O221" s="93"/>
      <c r="P221" s="93"/>
      <c r="Q221" s="93"/>
      <c r="R221" s="93"/>
      <c r="S221" s="93"/>
      <c r="T221" s="93"/>
    </row>
    <row r="222" spans="1:20" x14ac:dyDescent="0.25">
      <c r="A222" s="266"/>
      <c r="B222" s="140"/>
      <c r="C222" s="4"/>
      <c r="D222" s="4"/>
      <c r="E222" s="136"/>
      <c r="F222" s="3"/>
      <c r="G222" s="3"/>
      <c r="H222" s="136"/>
      <c r="I222" s="3"/>
      <c r="J222" s="3"/>
      <c r="K222" s="51"/>
      <c r="L222" s="52"/>
      <c r="M222" s="52"/>
      <c r="N222" s="52"/>
      <c r="O222" s="93"/>
      <c r="P222" s="93"/>
      <c r="Q222" s="93"/>
      <c r="R222" s="93"/>
      <c r="S222" s="93"/>
      <c r="T222" s="93"/>
    </row>
    <row r="223" spans="1:20" ht="57.75" x14ac:dyDescent="0.25">
      <c r="A223" s="266" t="s">
        <v>20</v>
      </c>
      <c r="B223" s="128" t="s">
        <v>372</v>
      </c>
      <c r="C223" s="129" t="s">
        <v>476</v>
      </c>
      <c r="D223" s="129" t="s">
        <v>374</v>
      </c>
      <c r="E223" s="166" t="s">
        <v>480</v>
      </c>
      <c r="F223" s="126" t="s">
        <v>481</v>
      </c>
      <c r="G223" s="126" t="s">
        <v>421</v>
      </c>
      <c r="H223" s="136" t="s">
        <v>243</v>
      </c>
      <c r="I223" s="3" t="s">
        <v>275</v>
      </c>
      <c r="J223" s="3" t="s">
        <v>300</v>
      </c>
      <c r="K223" s="28"/>
      <c r="L223" s="12"/>
      <c r="M223" s="12"/>
      <c r="N223" s="12"/>
      <c r="O223" s="107">
        <f t="shared" ref="O223:T223" si="18">SUM(O224:O231)</f>
        <v>7935926.0000000009</v>
      </c>
      <c r="P223" s="107">
        <f t="shared" si="18"/>
        <v>7892060.4500000002</v>
      </c>
      <c r="Q223" s="107">
        <f>SUM(Q224:Q231)</f>
        <v>7741783.7400000002</v>
      </c>
      <c r="R223" s="107">
        <f t="shared" si="18"/>
        <v>7985429.6499999994</v>
      </c>
      <c r="S223" s="107">
        <f t="shared" si="18"/>
        <v>7545996</v>
      </c>
      <c r="T223" s="107">
        <f t="shared" si="18"/>
        <v>7545926</v>
      </c>
    </row>
    <row r="224" spans="1:20" ht="66" x14ac:dyDescent="0.25">
      <c r="A224" s="266"/>
      <c r="B224" s="130" t="s">
        <v>477</v>
      </c>
      <c r="C224" s="131" t="s">
        <v>478</v>
      </c>
      <c r="D224" s="131" t="s">
        <v>479</v>
      </c>
      <c r="E224" s="166" t="s">
        <v>397</v>
      </c>
      <c r="F224" s="126" t="s">
        <v>398</v>
      </c>
      <c r="G224" s="126" t="s">
        <v>399</v>
      </c>
      <c r="H224" s="150" t="s">
        <v>116</v>
      </c>
      <c r="I224" s="26" t="s">
        <v>117</v>
      </c>
      <c r="J224" s="26" t="s">
        <v>319</v>
      </c>
      <c r="K224" s="28" t="s">
        <v>88</v>
      </c>
      <c r="L224" s="12" t="s">
        <v>91</v>
      </c>
      <c r="M224" s="116" t="s">
        <v>217</v>
      </c>
      <c r="N224" s="224" t="s">
        <v>62</v>
      </c>
      <c r="O224" s="117">
        <v>140000</v>
      </c>
      <c r="P224" s="117">
        <v>136727.63</v>
      </c>
      <c r="Q224" s="7">
        <v>13300</v>
      </c>
      <c r="R224" s="7">
        <v>0</v>
      </c>
      <c r="S224" s="7">
        <v>0</v>
      </c>
      <c r="T224" s="87">
        <v>0</v>
      </c>
    </row>
    <row r="225" spans="1:20" ht="41.25" x14ac:dyDescent="0.25">
      <c r="A225" s="266"/>
      <c r="B225" s="141"/>
      <c r="C225" s="5"/>
      <c r="D225" s="5"/>
      <c r="E225" s="140"/>
      <c r="F225" s="4"/>
      <c r="G225" s="4"/>
      <c r="H225" s="149" t="s">
        <v>128</v>
      </c>
      <c r="I225" s="98" t="s">
        <v>338</v>
      </c>
      <c r="J225" s="98" t="s">
        <v>250</v>
      </c>
      <c r="K225" s="28" t="s">
        <v>88</v>
      </c>
      <c r="L225" s="12" t="s">
        <v>91</v>
      </c>
      <c r="M225" s="116" t="s">
        <v>189</v>
      </c>
      <c r="N225" s="224" t="s">
        <v>57</v>
      </c>
      <c r="O225" s="117">
        <v>31379.360000000001</v>
      </c>
      <c r="P225" s="117">
        <v>31379.360000000001</v>
      </c>
      <c r="Q225" s="7">
        <v>200000</v>
      </c>
      <c r="R225" s="7">
        <f>150000-50000</f>
        <v>100000</v>
      </c>
      <c r="S225" s="7">
        <v>100000</v>
      </c>
      <c r="T225" s="87">
        <v>100000</v>
      </c>
    </row>
    <row r="226" spans="1:20" ht="41.25" x14ac:dyDescent="0.25">
      <c r="A226" s="266"/>
      <c r="B226" s="141"/>
      <c r="C226" s="5"/>
      <c r="D226" s="5"/>
      <c r="E226" s="140"/>
      <c r="F226" s="4"/>
      <c r="G226" s="4"/>
      <c r="H226" s="136" t="s">
        <v>262</v>
      </c>
      <c r="I226" s="3" t="s">
        <v>49</v>
      </c>
      <c r="J226" s="3" t="s">
        <v>308</v>
      </c>
      <c r="K226" s="28" t="s">
        <v>88</v>
      </c>
      <c r="L226" s="12" t="s">
        <v>91</v>
      </c>
      <c r="M226" s="116" t="s">
        <v>218</v>
      </c>
      <c r="N226" s="224" t="s">
        <v>57</v>
      </c>
      <c r="O226" s="117">
        <v>6478710.4400000004</v>
      </c>
      <c r="P226" s="117">
        <v>6461918.2000000002</v>
      </c>
      <c r="Q226" s="7">
        <v>6410930</v>
      </c>
      <c r="R226" s="7">
        <f>6667367+20000</f>
        <v>6687367</v>
      </c>
      <c r="S226" s="7">
        <v>6410160</v>
      </c>
      <c r="T226" s="87">
        <v>6410090</v>
      </c>
    </row>
    <row r="227" spans="1:20" ht="49.5" x14ac:dyDescent="0.25">
      <c r="A227" s="266"/>
      <c r="B227" s="141"/>
      <c r="C227" s="5"/>
      <c r="D227" s="5"/>
      <c r="E227" s="140"/>
      <c r="F227" s="4"/>
      <c r="G227" s="4"/>
      <c r="H227" s="136" t="s">
        <v>349</v>
      </c>
      <c r="I227" s="3"/>
      <c r="J227" s="3" t="s">
        <v>350</v>
      </c>
      <c r="K227" s="28" t="s">
        <v>88</v>
      </c>
      <c r="L227" s="12" t="s">
        <v>91</v>
      </c>
      <c r="M227" s="116" t="s">
        <v>218</v>
      </c>
      <c r="N227" s="224" t="s">
        <v>62</v>
      </c>
      <c r="O227" s="117">
        <v>280836.2</v>
      </c>
      <c r="P227" s="117">
        <v>268997.59000000003</v>
      </c>
      <c r="Q227" s="7">
        <v>252553.74</v>
      </c>
      <c r="R227" s="7">
        <v>247508.76</v>
      </c>
      <c r="S227" s="7">
        <v>280836</v>
      </c>
      <c r="T227" s="87">
        <v>280836</v>
      </c>
    </row>
    <row r="228" spans="1:20" x14ac:dyDescent="0.25">
      <c r="A228" s="266"/>
      <c r="B228" s="141"/>
      <c r="C228" s="5"/>
      <c r="D228" s="5"/>
      <c r="E228" s="140"/>
      <c r="F228" s="4"/>
      <c r="G228" s="4"/>
      <c r="H228" s="136"/>
      <c r="I228" s="3"/>
      <c r="J228" s="3"/>
      <c r="K228" s="28" t="s">
        <v>88</v>
      </c>
      <c r="L228" s="12" t="s">
        <v>91</v>
      </c>
      <c r="M228" s="116" t="s">
        <v>218</v>
      </c>
      <c r="N228" s="224" t="s">
        <v>68</v>
      </c>
      <c r="O228" s="117">
        <v>5000</v>
      </c>
      <c r="P228" s="117">
        <v>0</v>
      </c>
      <c r="Q228" s="7">
        <v>5000</v>
      </c>
      <c r="R228" s="7">
        <f>170553.89+30000</f>
        <v>200553.89</v>
      </c>
      <c r="S228" s="7">
        <v>5000</v>
      </c>
      <c r="T228" s="87">
        <v>5000</v>
      </c>
    </row>
    <row r="229" spans="1:20" x14ac:dyDescent="0.25">
      <c r="A229" s="266"/>
      <c r="B229" s="141"/>
      <c r="C229" s="5"/>
      <c r="D229" s="5"/>
      <c r="E229" s="140"/>
      <c r="F229" s="4"/>
      <c r="G229" s="4"/>
      <c r="H229" s="136"/>
      <c r="I229" s="3"/>
      <c r="J229" s="3"/>
      <c r="K229" s="28" t="s">
        <v>88</v>
      </c>
      <c r="L229" s="12" t="s">
        <v>212</v>
      </c>
      <c r="M229" s="116" t="s">
        <v>213</v>
      </c>
      <c r="N229" s="224" t="s">
        <v>62</v>
      </c>
      <c r="O229" s="117">
        <v>900000</v>
      </c>
      <c r="P229" s="117">
        <v>894462.36</v>
      </c>
      <c r="Q229" s="7">
        <v>600000</v>
      </c>
      <c r="R229" s="7">
        <v>600000</v>
      </c>
      <c r="S229" s="7">
        <v>600000</v>
      </c>
      <c r="T229" s="87">
        <v>600000</v>
      </c>
    </row>
    <row r="230" spans="1:20" x14ac:dyDescent="0.25">
      <c r="A230" s="266"/>
      <c r="B230" s="141"/>
      <c r="C230" s="5"/>
      <c r="D230" s="5"/>
      <c r="E230" s="140"/>
      <c r="F230" s="4"/>
      <c r="G230" s="4"/>
      <c r="H230" s="136"/>
      <c r="I230" s="3"/>
      <c r="J230" s="3"/>
      <c r="K230" s="28" t="s">
        <v>88</v>
      </c>
      <c r="L230" s="12" t="s">
        <v>212</v>
      </c>
      <c r="M230" s="116" t="s">
        <v>214</v>
      </c>
      <c r="N230" s="224" t="s">
        <v>62</v>
      </c>
      <c r="O230" s="117">
        <v>100000</v>
      </c>
      <c r="P230" s="117">
        <v>98575.31</v>
      </c>
      <c r="Q230" s="7">
        <v>150000</v>
      </c>
      <c r="R230" s="7">
        <v>150000</v>
      </c>
      <c r="S230" s="7">
        <v>150000</v>
      </c>
      <c r="T230" s="87">
        <v>150000</v>
      </c>
    </row>
    <row r="231" spans="1:20" x14ac:dyDescent="0.25">
      <c r="A231" s="266"/>
      <c r="B231" s="141"/>
      <c r="C231" s="5"/>
      <c r="D231" s="5"/>
      <c r="E231" s="140"/>
      <c r="F231" s="4"/>
      <c r="G231" s="4"/>
      <c r="H231" s="136"/>
      <c r="I231" s="3"/>
      <c r="J231" s="3"/>
      <c r="K231" s="28" t="s">
        <v>88</v>
      </c>
      <c r="L231" s="12" t="s">
        <v>212</v>
      </c>
      <c r="M231" s="116" t="s">
        <v>570</v>
      </c>
      <c r="N231" s="224" t="s">
        <v>62</v>
      </c>
      <c r="O231" s="117">
        <v>0</v>
      </c>
      <c r="P231" s="117">
        <v>0</v>
      </c>
      <c r="Q231" s="7">
        <v>110000</v>
      </c>
      <c r="R231" s="7">
        <v>0</v>
      </c>
      <c r="S231" s="7">
        <v>0</v>
      </c>
      <c r="T231" s="7">
        <v>0</v>
      </c>
    </row>
    <row r="232" spans="1:20" ht="49.5" x14ac:dyDescent="0.25">
      <c r="A232" s="266" t="s">
        <v>21</v>
      </c>
      <c r="B232" s="128" t="s">
        <v>372</v>
      </c>
      <c r="C232" s="129" t="s">
        <v>482</v>
      </c>
      <c r="D232" s="129" t="s">
        <v>374</v>
      </c>
      <c r="E232" s="135" t="s">
        <v>487</v>
      </c>
      <c r="F232" s="129" t="s">
        <v>380</v>
      </c>
      <c r="G232" s="129" t="s">
        <v>488</v>
      </c>
      <c r="H232" s="136" t="s">
        <v>243</v>
      </c>
      <c r="I232" s="3" t="s">
        <v>277</v>
      </c>
      <c r="J232" s="3" t="s">
        <v>300</v>
      </c>
      <c r="K232" s="28"/>
      <c r="L232" s="12"/>
      <c r="M232" s="12"/>
      <c r="N232" s="12"/>
      <c r="O232" s="107">
        <f t="shared" ref="O232:T232" si="19">SUM(O233:O237)</f>
        <v>1618000</v>
      </c>
      <c r="P232" s="107">
        <f t="shared" si="19"/>
        <v>1618000</v>
      </c>
      <c r="Q232" s="107">
        <f t="shared" si="19"/>
        <v>558000</v>
      </c>
      <c r="R232" s="107">
        <f t="shared" si="19"/>
        <v>358000</v>
      </c>
      <c r="S232" s="107">
        <f t="shared" si="19"/>
        <v>358000</v>
      </c>
      <c r="T232" s="107">
        <f t="shared" si="19"/>
        <v>358000</v>
      </c>
    </row>
    <row r="233" spans="1:20" ht="57.75" x14ac:dyDescent="0.25">
      <c r="A233" s="266"/>
      <c r="B233" s="130" t="s">
        <v>483</v>
      </c>
      <c r="C233" s="131" t="s">
        <v>380</v>
      </c>
      <c r="D233" s="131" t="s">
        <v>484</v>
      </c>
      <c r="E233" s="138" t="s">
        <v>489</v>
      </c>
      <c r="F233" s="131" t="s">
        <v>380</v>
      </c>
      <c r="G233" s="131" t="s">
        <v>490</v>
      </c>
      <c r="H233" s="15" t="s">
        <v>278</v>
      </c>
      <c r="I233" s="25"/>
      <c r="J233" s="25" t="s">
        <v>249</v>
      </c>
      <c r="K233" s="28" t="s">
        <v>55</v>
      </c>
      <c r="L233" s="12" t="s">
        <v>18</v>
      </c>
      <c r="M233" s="12" t="s">
        <v>571</v>
      </c>
      <c r="N233" s="12" t="s">
        <v>62</v>
      </c>
      <c r="O233" s="7">
        <v>0</v>
      </c>
      <c r="P233" s="7">
        <v>0</v>
      </c>
      <c r="Q233" s="7">
        <v>260000</v>
      </c>
      <c r="R233" s="7">
        <v>60000</v>
      </c>
      <c r="S233" s="7">
        <v>60000</v>
      </c>
      <c r="T233" s="87">
        <v>60000</v>
      </c>
    </row>
    <row r="234" spans="1:20" ht="57.75" x14ac:dyDescent="0.25">
      <c r="A234" s="266"/>
      <c r="B234" s="138" t="s">
        <v>485</v>
      </c>
      <c r="C234" s="131" t="s">
        <v>380</v>
      </c>
      <c r="D234" s="131" t="s">
        <v>486</v>
      </c>
      <c r="E234" s="138" t="s">
        <v>491</v>
      </c>
      <c r="F234" s="131" t="s">
        <v>443</v>
      </c>
      <c r="G234" s="131" t="s">
        <v>492</v>
      </c>
      <c r="H234" s="15" t="s">
        <v>279</v>
      </c>
      <c r="I234" s="25"/>
      <c r="J234" s="17" t="s">
        <v>312</v>
      </c>
      <c r="K234" s="28" t="s">
        <v>55</v>
      </c>
      <c r="L234" s="12" t="s">
        <v>18</v>
      </c>
      <c r="M234" s="12" t="s">
        <v>540</v>
      </c>
      <c r="N234" s="12" t="s">
        <v>68</v>
      </c>
      <c r="O234" s="7">
        <v>1000000</v>
      </c>
      <c r="P234" s="7">
        <v>1000000</v>
      </c>
      <c r="Q234" s="7">
        <v>0</v>
      </c>
      <c r="R234" s="7">
        <v>0</v>
      </c>
      <c r="S234" s="7">
        <v>0</v>
      </c>
      <c r="T234" s="87">
        <v>0</v>
      </c>
    </row>
    <row r="235" spans="1:20" x14ac:dyDescent="0.25">
      <c r="A235" s="266"/>
      <c r="B235" s="141"/>
      <c r="C235" s="5"/>
      <c r="D235" s="5"/>
      <c r="E235" s="141"/>
      <c r="F235" s="5"/>
      <c r="G235" s="5"/>
      <c r="H235" s="136"/>
      <c r="I235" s="3"/>
      <c r="J235" s="3"/>
      <c r="K235" s="28" t="s">
        <v>55</v>
      </c>
      <c r="L235" s="12" t="s">
        <v>18</v>
      </c>
      <c r="M235" s="12" t="s">
        <v>219</v>
      </c>
      <c r="N235" s="12" t="s">
        <v>68</v>
      </c>
      <c r="O235" s="7">
        <v>308000</v>
      </c>
      <c r="P235" s="7">
        <v>308000</v>
      </c>
      <c r="Q235" s="7">
        <v>0</v>
      </c>
      <c r="R235" s="7">
        <v>0</v>
      </c>
      <c r="S235" s="7">
        <v>0</v>
      </c>
      <c r="T235" s="87"/>
    </row>
    <row r="236" spans="1:20" x14ac:dyDescent="0.25">
      <c r="A236" s="266"/>
      <c r="B236" s="141"/>
      <c r="C236" s="5"/>
      <c r="D236" s="5"/>
      <c r="E236" s="141"/>
      <c r="F236" s="5"/>
      <c r="G236" s="5"/>
      <c r="H236" s="136"/>
      <c r="I236" s="3"/>
      <c r="J236" s="3"/>
      <c r="K236" s="28" t="s">
        <v>55</v>
      </c>
      <c r="L236" s="12" t="s">
        <v>18</v>
      </c>
      <c r="M236" s="12" t="s">
        <v>220</v>
      </c>
      <c r="N236" s="12" t="s">
        <v>62</v>
      </c>
      <c r="O236" s="7">
        <v>300000</v>
      </c>
      <c r="P236" s="7">
        <v>300000</v>
      </c>
      <c r="Q236" s="7">
        <v>198000</v>
      </c>
      <c r="R236" s="7">
        <v>198000</v>
      </c>
      <c r="S236" s="7">
        <v>198000</v>
      </c>
      <c r="T236" s="87">
        <v>198000</v>
      </c>
    </row>
    <row r="237" spans="1:20" x14ac:dyDescent="0.25">
      <c r="A237" s="266"/>
      <c r="B237" s="141"/>
      <c r="C237" s="5"/>
      <c r="D237" s="5"/>
      <c r="E237" s="141"/>
      <c r="F237" s="5"/>
      <c r="G237" s="5"/>
      <c r="H237" s="136"/>
      <c r="I237" s="3"/>
      <c r="J237" s="3"/>
      <c r="K237" s="28" t="s">
        <v>55</v>
      </c>
      <c r="L237" s="12" t="s">
        <v>18</v>
      </c>
      <c r="M237" s="12" t="s">
        <v>541</v>
      </c>
      <c r="N237" s="12" t="s">
        <v>62</v>
      </c>
      <c r="O237" s="7">
        <v>10000</v>
      </c>
      <c r="P237" s="7">
        <v>10000</v>
      </c>
      <c r="Q237" s="7">
        <v>100000</v>
      </c>
      <c r="R237" s="7">
        <v>100000</v>
      </c>
      <c r="S237" s="7">
        <v>100000</v>
      </c>
      <c r="T237" s="87">
        <v>100000</v>
      </c>
    </row>
    <row r="238" spans="1:20" ht="49.5" x14ac:dyDescent="0.25">
      <c r="A238" s="266" t="s">
        <v>28</v>
      </c>
      <c r="B238" s="128" t="s">
        <v>372</v>
      </c>
      <c r="C238" s="129" t="s">
        <v>493</v>
      </c>
      <c r="D238" s="129" t="s">
        <v>374</v>
      </c>
      <c r="E238" s="135" t="s">
        <v>496</v>
      </c>
      <c r="F238" s="129" t="s">
        <v>497</v>
      </c>
      <c r="G238" s="129" t="s">
        <v>498</v>
      </c>
      <c r="H238" s="136" t="s">
        <v>243</v>
      </c>
      <c r="I238" s="3" t="s">
        <v>280</v>
      </c>
      <c r="J238" s="3" t="s">
        <v>300</v>
      </c>
      <c r="K238" s="28"/>
      <c r="L238" s="12"/>
      <c r="M238" s="12"/>
      <c r="N238" s="12"/>
      <c r="O238" s="107">
        <f t="shared" ref="O238:T238" si="20">SUM(O239:O241)</f>
        <v>1124662.79</v>
      </c>
      <c r="P238" s="107">
        <f t="shared" si="20"/>
        <v>1124103.19</v>
      </c>
      <c r="Q238" s="107">
        <f t="shared" si="20"/>
        <v>770000</v>
      </c>
      <c r="R238" s="107">
        <f t="shared" si="20"/>
        <v>800000</v>
      </c>
      <c r="S238" s="107">
        <f t="shared" si="20"/>
        <v>800000</v>
      </c>
      <c r="T238" s="107">
        <f t="shared" si="20"/>
        <v>800000</v>
      </c>
    </row>
    <row r="239" spans="1:20" ht="57.75" x14ac:dyDescent="0.25">
      <c r="A239" s="266"/>
      <c r="B239" s="130" t="s">
        <v>494</v>
      </c>
      <c r="C239" s="131" t="s">
        <v>380</v>
      </c>
      <c r="D239" s="131" t="s">
        <v>495</v>
      </c>
      <c r="E239" s="135" t="s">
        <v>499</v>
      </c>
      <c r="F239" s="129" t="s">
        <v>500</v>
      </c>
      <c r="G239" s="129" t="s">
        <v>501</v>
      </c>
      <c r="H239" s="149" t="s">
        <v>128</v>
      </c>
      <c r="I239" s="98" t="s">
        <v>281</v>
      </c>
      <c r="J239" s="25" t="s">
        <v>249</v>
      </c>
      <c r="K239" s="28" t="s">
        <v>76</v>
      </c>
      <c r="L239" s="12" t="s">
        <v>76</v>
      </c>
      <c r="M239" s="12" t="s">
        <v>221</v>
      </c>
      <c r="N239" s="12" t="s">
        <v>57</v>
      </c>
      <c r="O239" s="7">
        <v>140000</v>
      </c>
      <c r="P239" s="7">
        <v>139440.4</v>
      </c>
      <c r="Q239" s="7">
        <v>58750</v>
      </c>
      <c r="R239" s="7">
        <v>74350</v>
      </c>
      <c r="S239" s="7">
        <v>74350</v>
      </c>
      <c r="T239" s="87">
        <v>74350</v>
      </c>
    </row>
    <row r="240" spans="1:20" x14ac:dyDescent="0.25">
      <c r="A240" s="266"/>
      <c r="B240" s="141"/>
      <c r="C240" s="5"/>
      <c r="D240" s="5"/>
      <c r="E240" s="141"/>
      <c r="F240" s="5"/>
      <c r="G240" s="5"/>
      <c r="H240" s="136"/>
      <c r="I240" s="3"/>
      <c r="J240" s="3"/>
      <c r="K240" s="28" t="s">
        <v>76</v>
      </c>
      <c r="L240" s="12" t="s">
        <v>76</v>
      </c>
      <c r="M240" s="12" t="s">
        <v>221</v>
      </c>
      <c r="N240" s="12" t="s">
        <v>62</v>
      </c>
      <c r="O240" s="7">
        <v>727537.74</v>
      </c>
      <c r="P240" s="7">
        <v>727537.74</v>
      </c>
      <c r="Q240" s="7">
        <v>441250</v>
      </c>
      <c r="R240" s="7">
        <v>425650</v>
      </c>
      <c r="S240" s="7">
        <v>425650</v>
      </c>
      <c r="T240" s="87">
        <v>425650</v>
      </c>
    </row>
    <row r="241" spans="1:20" x14ac:dyDescent="0.25">
      <c r="A241" s="266"/>
      <c r="B241" s="141"/>
      <c r="C241" s="5"/>
      <c r="D241" s="5"/>
      <c r="E241" s="141"/>
      <c r="F241" s="5"/>
      <c r="G241" s="5"/>
      <c r="H241" s="136"/>
      <c r="I241" s="3"/>
      <c r="J241" s="3"/>
      <c r="K241" s="28" t="s">
        <v>76</v>
      </c>
      <c r="L241" s="12" t="s">
        <v>76</v>
      </c>
      <c r="M241" s="12" t="s">
        <v>222</v>
      </c>
      <c r="N241" s="12" t="s">
        <v>57</v>
      </c>
      <c r="O241" s="7">
        <v>257125.05</v>
      </c>
      <c r="P241" s="7">
        <v>257125.05</v>
      </c>
      <c r="Q241" s="7">
        <v>270000</v>
      </c>
      <c r="R241" s="7">
        <v>300000</v>
      </c>
      <c r="S241" s="7">
        <v>300000</v>
      </c>
      <c r="T241" s="87">
        <v>300000</v>
      </c>
    </row>
    <row r="242" spans="1:20" ht="49.5" x14ac:dyDescent="0.25">
      <c r="A242" s="266" t="s">
        <v>29</v>
      </c>
      <c r="B242" s="125" t="s">
        <v>372</v>
      </c>
      <c r="C242" s="126" t="s">
        <v>468</v>
      </c>
      <c r="D242" s="183" t="s">
        <v>374</v>
      </c>
      <c r="E242" s="135" t="s">
        <v>390</v>
      </c>
      <c r="F242" s="129" t="s">
        <v>391</v>
      </c>
      <c r="G242" s="129" t="s">
        <v>392</v>
      </c>
      <c r="H242" s="136" t="s">
        <v>243</v>
      </c>
      <c r="I242" s="3" t="s">
        <v>282</v>
      </c>
      <c r="J242" s="3" t="s">
        <v>300</v>
      </c>
      <c r="K242" s="28"/>
      <c r="L242" s="12"/>
      <c r="M242" s="12"/>
      <c r="N242" s="12"/>
      <c r="O242" s="107">
        <f>SUM(O243:O244)</f>
        <v>679033.97</v>
      </c>
      <c r="P242" s="107">
        <f t="shared" ref="P242:T242" si="21">SUM(P243:P244)</f>
        <v>679033.97</v>
      </c>
      <c r="Q242" s="107">
        <f t="shared" si="21"/>
        <v>3051631.8</v>
      </c>
      <c r="R242" s="107">
        <f t="shared" si="21"/>
        <v>600000</v>
      </c>
      <c r="S242" s="107">
        <f t="shared" si="21"/>
        <v>600000</v>
      </c>
      <c r="T242" s="107">
        <f t="shared" si="21"/>
        <v>600000</v>
      </c>
    </row>
    <row r="243" spans="1:20" ht="41.25" x14ac:dyDescent="0.25">
      <c r="A243" s="266"/>
      <c r="B243" s="141"/>
      <c r="C243" s="5"/>
      <c r="D243" s="5"/>
      <c r="E243" s="136"/>
      <c r="F243" s="3"/>
      <c r="G243" s="3"/>
      <c r="H243" s="151" t="s">
        <v>203</v>
      </c>
      <c r="I243" s="98" t="s">
        <v>115</v>
      </c>
      <c r="J243" s="25" t="s">
        <v>249</v>
      </c>
      <c r="K243" s="54" t="s">
        <v>54</v>
      </c>
      <c r="L243" s="55" t="s">
        <v>60</v>
      </c>
      <c r="M243" s="55" t="s">
        <v>204</v>
      </c>
      <c r="N243" s="55" t="s">
        <v>62</v>
      </c>
      <c r="O243" s="34">
        <v>377399.97</v>
      </c>
      <c r="P243" s="34">
        <v>377399.97</v>
      </c>
      <c r="Q243" s="34">
        <v>600000</v>
      </c>
      <c r="R243" s="34">
        <v>600000</v>
      </c>
      <c r="S243" s="34">
        <v>600000</v>
      </c>
      <c r="T243" s="85">
        <v>600000</v>
      </c>
    </row>
    <row r="244" spans="1:20" x14ac:dyDescent="0.25">
      <c r="A244" s="266"/>
      <c r="B244" s="141"/>
      <c r="C244" s="5"/>
      <c r="D244" s="5"/>
      <c r="E244" s="136"/>
      <c r="F244" s="3"/>
      <c r="G244" s="3"/>
      <c r="H244" s="151"/>
      <c r="I244" s="18"/>
      <c r="J244" s="18"/>
      <c r="K244" s="35" t="s">
        <v>55</v>
      </c>
      <c r="L244" s="35" t="s">
        <v>18</v>
      </c>
      <c r="M244" s="35" t="s">
        <v>205</v>
      </c>
      <c r="N244" s="35" t="s">
        <v>62</v>
      </c>
      <c r="O244" s="36">
        <v>301634</v>
      </c>
      <c r="P244" s="34">
        <v>301634</v>
      </c>
      <c r="Q244" s="36">
        <v>2451631.7999999998</v>
      </c>
      <c r="R244" s="36">
        <v>0</v>
      </c>
      <c r="S244" s="36">
        <v>0</v>
      </c>
      <c r="T244" s="37">
        <v>0</v>
      </c>
    </row>
    <row r="245" spans="1:20" s="2" customFormat="1" ht="14.25" x14ac:dyDescent="0.2">
      <c r="A245" s="268" t="s">
        <v>30</v>
      </c>
      <c r="B245" s="268"/>
      <c r="C245" s="268"/>
      <c r="D245" s="268"/>
      <c r="E245" s="268"/>
      <c r="F245" s="268"/>
      <c r="G245" s="268"/>
      <c r="H245" s="268"/>
      <c r="I245" s="268"/>
      <c r="J245" s="268"/>
      <c r="K245" s="268"/>
      <c r="L245" s="268"/>
      <c r="M245" s="268"/>
      <c r="N245" s="268"/>
      <c r="O245" s="75">
        <f t="shared" ref="O245:T245" si="22">O246+O285+O305+O308+O309+O283</f>
        <v>301405591.24000001</v>
      </c>
      <c r="P245" s="75">
        <f t="shared" si="22"/>
        <v>297396610.19</v>
      </c>
      <c r="Q245" s="75">
        <f t="shared" si="22"/>
        <v>242150133.54999998</v>
      </c>
      <c r="R245" s="75">
        <f t="shared" si="22"/>
        <v>231131059.53999999</v>
      </c>
      <c r="S245" s="75">
        <f t="shared" si="22"/>
        <v>236735974.94</v>
      </c>
      <c r="T245" s="75">
        <f t="shared" si="22"/>
        <v>249372988.94</v>
      </c>
    </row>
    <row r="246" spans="1:20" ht="49.5" x14ac:dyDescent="0.25">
      <c r="A246" s="266" t="s">
        <v>31</v>
      </c>
      <c r="B246" s="128" t="s">
        <v>372</v>
      </c>
      <c r="C246" s="129" t="s">
        <v>502</v>
      </c>
      <c r="D246" s="129" t="s">
        <v>503</v>
      </c>
      <c r="E246" s="182" t="s">
        <v>385</v>
      </c>
      <c r="F246" s="163" t="s">
        <v>386</v>
      </c>
      <c r="G246" s="163" t="s">
        <v>387</v>
      </c>
      <c r="H246" s="136" t="s">
        <v>53</v>
      </c>
      <c r="I246" s="3"/>
      <c r="J246" s="3" t="s">
        <v>313</v>
      </c>
      <c r="K246" s="28"/>
      <c r="L246" s="12"/>
      <c r="M246" s="12"/>
      <c r="N246" s="12"/>
      <c r="O246" s="107">
        <f t="shared" ref="O246:T246" si="23">SUM(O247:O282)</f>
        <v>83151704.899999991</v>
      </c>
      <c r="P246" s="107">
        <f t="shared" si="23"/>
        <v>81970302.670000002</v>
      </c>
      <c r="Q246" s="107">
        <f t="shared" si="23"/>
        <v>86273480.919999987</v>
      </c>
      <c r="R246" s="107">
        <f t="shared" si="23"/>
        <v>86227331.039999992</v>
      </c>
      <c r="S246" s="107">
        <f t="shared" si="23"/>
        <v>85637689.989999995</v>
      </c>
      <c r="T246" s="107">
        <f t="shared" si="23"/>
        <v>85677759.989999995</v>
      </c>
    </row>
    <row r="247" spans="1:20" ht="82.5" x14ac:dyDescent="0.25">
      <c r="A247" s="266"/>
      <c r="B247" s="130" t="s">
        <v>382</v>
      </c>
      <c r="C247" s="131" t="s">
        <v>383</v>
      </c>
      <c r="D247" s="131" t="s">
        <v>384</v>
      </c>
      <c r="E247" s="139" t="s">
        <v>388</v>
      </c>
      <c r="F247" s="132" t="s">
        <v>380</v>
      </c>
      <c r="G247" s="132" t="s">
        <v>389</v>
      </c>
      <c r="H247" s="136" t="s">
        <v>339</v>
      </c>
      <c r="I247" s="3"/>
      <c r="J247" s="3" t="s">
        <v>314</v>
      </c>
      <c r="K247" s="28" t="s">
        <v>54</v>
      </c>
      <c r="L247" s="12" t="s">
        <v>55</v>
      </c>
      <c r="M247" s="12" t="s">
        <v>223</v>
      </c>
      <c r="N247" s="12" t="s">
        <v>57</v>
      </c>
      <c r="O247" s="102">
        <v>2158264</v>
      </c>
      <c r="P247" s="102">
        <v>2156717.62</v>
      </c>
      <c r="Q247" s="102">
        <v>2002317.04</v>
      </c>
      <c r="R247" s="102">
        <v>0</v>
      </c>
      <c r="S247" s="102">
        <v>0</v>
      </c>
      <c r="T247" s="103">
        <v>0</v>
      </c>
    </row>
    <row r="248" spans="1:20" ht="49.5" x14ac:dyDescent="0.25">
      <c r="A248" s="266"/>
      <c r="B248" s="141"/>
      <c r="C248" s="5"/>
      <c r="D248" s="5"/>
      <c r="E248" s="141"/>
      <c r="F248" s="5"/>
      <c r="G248" s="5"/>
      <c r="H248" s="136" t="s">
        <v>71</v>
      </c>
      <c r="I248" s="3"/>
      <c r="J248" s="3" t="s">
        <v>315</v>
      </c>
      <c r="K248" s="28" t="s">
        <v>54</v>
      </c>
      <c r="L248" s="12" t="s">
        <v>55</v>
      </c>
      <c r="M248" s="12" t="s">
        <v>103</v>
      </c>
      <c r="N248" s="12" t="s">
        <v>57</v>
      </c>
      <c r="O248" s="102">
        <f>49680220.97+12153832.81</f>
        <v>61834053.780000001</v>
      </c>
      <c r="P248" s="102">
        <f>49354177.39+12151061.67</f>
        <v>61505239.060000002</v>
      </c>
      <c r="Q248" s="102">
        <f>49902353.82+10849506.34</f>
        <v>60751860.159999996</v>
      </c>
      <c r="R248" s="102">
        <f>49238921.9+10990878.26</f>
        <v>60229800.159999996</v>
      </c>
      <c r="S248" s="102">
        <f>49238921.9+10990878.26</f>
        <v>60229800.159999996</v>
      </c>
      <c r="T248" s="103">
        <f>49238921.9+10990878.26</f>
        <v>60229800.159999996</v>
      </c>
    </row>
    <row r="249" spans="1:20" ht="49.5" x14ac:dyDescent="0.25">
      <c r="A249" s="266"/>
      <c r="B249" s="140"/>
      <c r="C249" s="4"/>
      <c r="D249" s="4"/>
      <c r="E249" s="140"/>
      <c r="F249" s="4" t="s">
        <v>51</v>
      </c>
      <c r="G249" s="4" t="s">
        <v>51</v>
      </c>
      <c r="H249" s="136" t="s">
        <v>316</v>
      </c>
      <c r="I249" s="3"/>
      <c r="J249" s="3" t="s">
        <v>317</v>
      </c>
      <c r="K249" s="28" t="s">
        <v>54</v>
      </c>
      <c r="L249" s="12" t="s">
        <v>80</v>
      </c>
      <c r="M249" s="12" t="s">
        <v>145</v>
      </c>
      <c r="N249" s="12" t="s">
        <v>57</v>
      </c>
      <c r="O249" s="102">
        <v>2264595</v>
      </c>
      <c r="P249" s="102">
        <v>2261632.6800000002</v>
      </c>
      <c r="Q249" s="102">
        <v>1237625</v>
      </c>
      <c r="R249" s="102">
        <v>2352514.64</v>
      </c>
      <c r="S249" s="102">
        <v>2352514.64</v>
      </c>
      <c r="T249" s="103">
        <v>2352514.64</v>
      </c>
    </row>
    <row r="250" spans="1:20" ht="33" x14ac:dyDescent="0.25">
      <c r="A250" s="266"/>
      <c r="B250" s="140"/>
      <c r="C250" s="4"/>
      <c r="D250" s="4"/>
      <c r="E250" s="140"/>
      <c r="F250" s="4" t="s">
        <v>51</v>
      </c>
      <c r="G250" s="4" t="s">
        <v>51</v>
      </c>
      <c r="H250" s="143" t="s">
        <v>151</v>
      </c>
      <c r="I250" s="3"/>
      <c r="J250" s="3" t="s">
        <v>318</v>
      </c>
      <c r="K250" s="28" t="s">
        <v>54</v>
      </c>
      <c r="L250" s="12" t="s">
        <v>80</v>
      </c>
      <c r="M250" s="12" t="s">
        <v>146</v>
      </c>
      <c r="N250" s="12" t="s">
        <v>57</v>
      </c>
      <c r="O250" s="102">
        <v>513500</v>
      </c>
      <c r="P250" s="102">
        <v>499217</v>
      </c>
      <c r="Q250" s="102">
        <v>634363</v>
      </c>
      <c r="R250" s="102">
        <v>270000</v>
      </c>
      <c r="S250" s="102">
        <v>270000</v>
      </c>
      <c r="T250" s="103">
        <v>270000</v>
      </c>
    </row>
    <row r="251" spans="1:20" ht="33" x14ac:dyDescent="0.25">
      <c r="A251" s="266"/>
      <c r="B251" s="140"/>
      <c r="C251" s="4"/>
      <c r="D251" s="4"/>
      <c r="E251" s="140"/>
      <c r="F251" s="4" t="s">
        <v>51</v>
      </c>
      <c r="G251" s="4" t="s">
        <v>51</v>
      </c>
      <c r="H251" s="143" t="s">
        <v>152</v>
      </c>
      <c r="I251" s="3"/>
      <c r="J251" s="3" t="s">
        <v>299</v>
      </c>
      <c r="K251" s="28" t="s">
        <v>54</v>
      </c>
      <c r="L251" s="12" t="s">
        <v>80</v>
      </c>
      <c r="M251" s="12" t="s">
        <v>146</v>
      </c>
      <c r="N251" s="12" t="s">
        <v>62</v>
      </c>
      <c r="O251" s="102">
        <v>45000</v>
      </c>
      <c r="P251" s="102">
        <v>45000</v>
      </c>
      <c r="Q251" s="102">
        <v>50000</v>
      </c>
      <c r="R251" s="102">
        <v>130000</v>
      </c>
      <c r="S251" s="102">
        <v>130000</v>
      </c>
      <c r="T251" s="103">
        <v>130000</v>
      </c>
    </row>
    <row r="252" spans="1:20" ht="90.75" x14ac:dyDescent="0.25">
      <c r="A252" s="266"/>
      <c r="B252" s="140"/>
      <c r="C252" s="4"/>
      <c r="D252" s="4"/>
      <c r="E252" s="140"/>
      <c r="F252" s="4"/>
      <c r="G252" s="4"/>
      <c r="H252" s="143" t="s">
        <v>323</v>
      </c>
      <c r="I252" s="3"/>
      <c r="J252" s="3" t="s">
        <v>319</v>
      </c>
      <c r="K252" s="28" t="s">
        <v>54</v>
      </c>
      <c r="L252" s="12" t="s">
        <v>80</v>
      </c>
      <c r="M252" s="12" t="s">
        <v>147</v>
      </c>
      <c r="N252" s="12" t="s">
        <v>57</v>
      </c>
      <c r="O252" s="102">
        <v>0</v>
      </c>
      <c r="P252" s="102">
        <v>0</v>
      </c>
      <c r="Q252" s="102">
        <v>60000</v>
      </c>
      <c r="R252" s="102">
        <v>40000</v>
      </c>
      <c r="S252" s="102">
        <v>0</v>
      </c>
      <c r="T252" s="103">
        <v>40000</v>
      </c>
    </row>
    <row r="253" spans="1:20" ht="41.25" x14ac:dyDescent="0.25">
      <c r="A253" s="266"/>
      <c r="B253" s="140"/>
      <c r="C253" s="4"/>
      <c r="D253" s="4"/>
      <c r="E253" s="140"/>
      <c r="F253" s="4"/>
      <c r="G253" s="4"/>
      <c r="H253" s="143" t="s">
        <v>320</v>
      </c>
      <c r="I253" s="3"/>
      <c r="J253" s="3" t="s">
        <v>321</v>
      </c>
      <c r="K253" s="28" t="s">
        <v>54</v>
      </c>
      <c r="L253" s="12" t="s">
        <v>88</v>
      </c>
      <c r="M253" s="12" t="s">
        <v>148</v>
      </c>
      <c r="N253" s="12" t="s">
        <v>57</v>
      </c>
      <c r="O253" s="102">
        <v>1614749</v>
      </c>
      <c r="P253" s="102">
        <v>1612877.16</v>
      </c>
      <c r="Q253" s="102">
        <v>1595082.94</v>
      </c>
      <c r="R253" s="102">
        <v>1656708.55</v>
      </c>
      <c r="S253" s="102">
        <v>1656708.55</v>
      </c>
      <c r="T253" s="103">
        <v>1656708.55</v>
      </c>
    </row>
    <row r="254" spans="1:20" ht="41.25" x14ac:dyDescent="0.25">
      <c r="A254" s="266"/>
      <c r="B254" s="140"/>
      <c r="C254" s="4"/>
      <c r="D254" s="4"/>
      <c r="E254" s="140"/>
      <c r="F254" s="4"/>
      <c r="G254" s="4"/>
      <c r="H254" s="136" t="s">
        <v>69</v>
      </c>
      <c r="I254" s="3" t="s">
        <v>283</v>
      </c>
      <c r="J254" s="25" t="s">
        <v>249</v>
      </c>
      <c r="K254" s="28" t="s">
        <v>54</v>
      </c>
      <c r="L254" s="12" t="s">
        <v>88</v>
      </c>
      <c r="M254" s="12" t="s">
        <v>149</v>
      </c>
      <c r="N254" s="12" t="s">
        <v>57</v>
      </c>
      <c r="O254" s="102">
        <v>95800</v>
      </c>
      <c r="P254" s="102">
        <v>64072.92</v>
      </c>
      <c r="Q254" s="102">
        <v>111051</v>
      </c>
      <c r="R254" s="102">
        <v>210000</v>
      </c>
      <c r="S254" s="102">
        <v>240350</v>
      </c>
      <c r="T254" s="103">
        <v>240840</v>
      </c>
    </row>
    <row r="255" spans="1:20" ht="41.25" x14ac:dyDescent="0.25">
      <c r="A255" s="266"/>
      <c r="B255" s="140"/>
      <c r="C255" s="4"/>
      <c r="D255" s="4"/>
      <c r="E255" s="140"/>
      <c r="F255" s="4"/>
      <c r="G255" s="4"/>
      <c r="H255" s="149" t="s">
        <v>128</v>
      </c>
      <c r="I255" s="98" t="s">
        <v>141</v>
      </c>
      <c r="J255" s="25" t="s">
        <v>249</v>
      </c>
      <c r="K255" s="28" t="s">
        <v>54</v>
      </c>
      <c r="L255" s="12" t="s">
        <v>88</v>
      </c>
      <c r="M255" s="12" t="s">
        <v>149</v>
      </c>
      <c r="N255" s="12" t="s">
        <v>62</v>
      </c>
      <c r="O255" s="102">
        <v>145280</v>
      </c>
      <c r="P255" s="102">
        <v>145246</v>
      </c>
      <c r="Q255" s="102">
        <v>100000</v>
      </c>
      <c r="R255" s="102">
        <v>100000</v>
      </c>
      <c r="S255" s="102">
        <v>100000</v>
      </c>
      <c r="T255" s="103">
        <v>100000</v>
      </c>
    </row>
    <row r="256" spans="1:20" ht="57.75" x14ac:dyDescent="0.25">
      <c r="A256" s="266"/>
      <c r="B256" s="140"/>
      <c r="C256" s="4"/>
      <c r="D256" s="4"/>
      <c r="E256" s="140"/>
      <c r="F256" s="4"/>
      <c r="G256" s="4"/>
      <c r="H256" s="15" t="s">
        <v>284</v>
      </c>
      <c r="I256" s="176"/>
      <c r="J256" s="3" t="s">
        <v>322</v>
      </c>
      <c r="K256" s="28" t="s">
        <v>54</v>
      </c>
      <c r="L256" s="12" t="s">
        <v>88</v>
      </c>
      <c r="M256" s="12" t="s">
        <v>150</v>
      </c>
      <c r="N256" s="12" t="s">
        <v>57</v>
      </c>
      <c r="O256" s="102">
        <v>3537669</v>
      </c>
      <c r="P256" s="102">
        <v>3076624.86</v>
      </c>
      <c r="Q256" s="102">
        <v>4862648.37</v>
      </c>
      <c r="R256" s="102">
        <v>4494876.6500000004</v>
      </c>
      <c r="S256" s="102">
        <v>4494526.6500000004</v>
      </c>
      <c r="T256" s="103">
        <v>4494036.6500000004</v>
      </c>
    </row>
    <row r="257" spans="1:20" x14ac:dyDescent="0.25">
      <c r="A257" s="266"/>
      <c r="B257" s="140"/>
      <c r="C257" s="4"/>
      <c r="D257" s="4"/>
      <c r="E257" s="140"/>
      <c r="F257" s="4"/>
      <c r="G257" s="4"/>
      <c r="H257" s="15"/>
      <c r="I257" s="176"/>
      <c r="J257" s="3"/>
      <c r="K257" s="28" t="s">
        <v>54</v>
      </c>
      <c r="L257" s="12" t="s">
        <v>88</v>
      </c>
      <c r="M257" s="12" t="s">
        <v>552</v>
      </c>
      <c r="N257" s="12" t="s">
        <v>57</v>
      </c>
      <c r="O257" s="102">
        <v>0</v>
      </c>
      <c r="P257" s="102">
        <v>0</v>
      </c>
      <c r="Q257" s="102">
        <v>973636.45</v>
      </c>
      <c r="R257" s="102">
        <v>2352514.64</v>
      </c>
      <c r="S257" s="102">
        <v>2352514.64</v>
      </c>
      <c r="T257" s="103">
        <v>2352514.64</v>
      </c>
    </row>
    <row r="258" spans="1:20" x14ac:dyDescent="0.25">
      <c r="A258" s="266"/>
      <c r="B258" s="140"/>
      <c r="C258" s="4"/>
      <c r="D258" s="4"/>
      <c r="E258" s="140"/>
      <c r="F258" s="4"/>
      <c r="G258" s="4"/>
      <c r="H258" s="15"/>
      <c r="I258" s="176"/>
      <c r="J258" s="3"/>
      <c r="K258" s="28" t="s">
        <v>54</v>
      </c>
      <c r="L258" s="12" t="s">
        <v>88</v>
      </c>
      <c r="M258" s="12" t="s">
        <v>553</v>
      </c>
      <c r="N258" s="12" t="s">
        <v>57</v>
      </c>
      <c r="O258" s="102">
        <v>0</v>
      </c>
      <c r="P258" s="102">
        <v>0</v>
      </c>
      <c r="Q258" s="102">
        <v>0</v>
      </c>
      <c r="R258" s="102">
        <v>186000</v>
      </c>
      <c r="S258" s="102">
        <v>186000</v>
      </c>
      <c r="T258" s="103">
        <v>186000</v>
      </c>
    </row>
    <row r="259" spans="1:20" x14ac:dyDescent="0.25">
      <c r="A259" s="266"/>
      <c r="B259" s="140"/>
      <c r="C259" s="4"/>
      <c r="D259" s="4"/>
      <c r="E259" s="140"/>
      <c r="F259" s="4"/>
      <c r="G259" s="4"/>
      <c r="H259" s="15"/>
      <c r="I259" s="176"/>
      <c r="J259" s="3"/>
      <c r="K259" s="28" t="s">
        <v>54</v>
      </c>
      <c r="L259" s="12" t="s">
        <v>88</v>
      </c>
      <c r="M259" s="12" t="s">
        <v>360</v>
      </c>
      <c r="N259" s="12" t="s">
        <v>57</v>
      </c>
      <c r="O259" s="102">
        <v>0</v>
      </c>
      <c r="P259" s="102">
        <v>0</v>
      </c>
      <c r="Q259" s="102">
        <v>31200</v>
      </c>
      <c r="R259" s="102">
        <v>31200</v>
      </c>
      <c r="S259" s="102">
        <v>31200</v>
      </c>
      <c r="T259" s="103">
        <v>31200</v>
      </c>
    </row>
    <row r="260" spans="1:20" x14ac:dyDescent="0.25">
      <c r="A260" s="266"/>
      <c r="B260" s="140"/>
      <c r="C260" s="4"/>
      <c r="D260" s="4"/>
      <c r="E260" s="140"/>
      <c r="F260" s="4"/>
      <c r="G260" s="4"/>
      <c r="H260" s="15"/>
      <c r="I260" s="176"/>
      <c r="J260" s="3"/>
      <c r="K260" s="28" t="s">
        <v>54</v>
      </c>
      <c r="L260" s="12" t="s">
        <v>88</v>
      </c>
      <c r="M260" s="12" t="s">
        <v>360</v>
      </c>
      <c r="N260" s="12" t="s">
        <v>62</v>
      </c>
      <c r="O260" s="102">
        <v>0</v>
      </c>
      <c r="P260" s="102">
        <v>0</v>
      </c>
      <c r="Q260" s="102">
        <v>95000</v>
      </c>
      <c r="R260" s="102">
        <v>95000</v>
      </c>
      <c r="S260" s="102">
        <v>95000</v>
      </c>
      <c r="T260" s="103">
        <v>95000</v>
      </c>
    </row>
    <row r="261" spans="1:20" x14ac:dyDescent="0.25">
      <c r="A261" s="266"/>
      <c r="B261" s="140"/>
      <c r="C261" s="4"/>
      <c r="D261" s="4"/>
      <c r="E261" s="140"/>
      <c r="F261" s="4"/>
      <c r="G261" s="4"/>
      <c r="H261" s="15"/>
      <c r="I261" s="176"/>
      <c r="J261" s="3"/>
      <c r="K261" s="28" t="s">
        <v>54</v>
      </c>
      <c r="L261" s="12" t="s">
        <v>88</v>
      </c>
      <c r="M261" s="12" t="s">
        <v>66</v>
      </c>
      <c r="N261" s="12" t="s">
        <v>57</v>
      </c>
      <c r="O261" s="102">
        <v>0</v>
      </c>
      <c r="P261" s="102">
        <v>0</v>
      </c>
      <c r="Q261" s="102">
        <v>120000</v>
      </c>
      <c r="R261" s="102">
        <v>65900</v>
      </c>
      <c r="S261" s="102">
        <v>65900</v>
      </c>
      <c r="T261" s="103">
        <v>65900</v>
      </c>
    </row>
    <row r="262" spans="1:20" x14ac:dyDescent="0.25">
      <c r="A262" s="266"/>
      <c r="B262" s="140"/>
      <c r="C262" s="4"/>
      <c r="D262" s="4"/>
      <c r="E262" s="140"/>
      <c r="F262" s="4"/>
      <c r="G262" s="4"/>
      <c r="H262" s="136"/>
      <c r="I262" s="3"/>
      <c r="J262" s="3"/>
      <c r="K262" s="28" t="s">
        <v>54</v>
      </c>
      <c r="L262" s="12" t="s">
        <v>55</v>
      </c>
      <c r="M262" s="52" t="s">
        <v>549</v>
      </c>
      <c r="N262" s="52" t="s">
        <v>57</v>
      </c>
      <c r="O262" s="93">
        <v>0</v>
      </c>
      <c r="P262" s="93">
        <v>0</v>
      </c>
      <c r="Q262" s="102">
        <v>270000</v>
      </c>
      <c r="R262" s="102">
        <v>0</v>
      </c>
      <c r="S262" s="102">
        <v>0</v>
      </c>
      <c r="T262" s="103">
        <v>0</v>
      </c>
    </row>
    <row r="263" spans="1:20" x14ac:dyDescent="0.25">
      <c r="A263" s="266"/>
      <c r="B263" s="140"/>
      <c r="C263" s="4"/>
      <c r="D263" s="4"/>
      <c r="E263" s="140"/>
      <c r="F263" s="4"/>
      <c r="G263" s="4"/>
      <c r="H263" s="136"/>
      <c r="I263" s="3"/>
      <c r="J263" s="3"/>
      <c r="K263" s="28" t="s">
        <v>54</v>
      </c>
      <c r="L263" s="12" t="s">
        <v>55</v>
      </c>
      <c r="M263" s="52" t="s">
        <v>549</v>
      </c>
      <c r="N263" s="52" t="s">
        <v>62</v>
      </c>
      <c r="O263" s="93">
        <v>0</v>
      </c>
      <c r="P263" s="93">
        <v>0</v>
      </c>
      <c r="Q263" s="102">
        <v>115000</v>
      </c>
      <c r="R263" s="102">
        <v>0</v>
      </c>
      <c r="S263" s="102">
        <v>0</v>
      </c>
      <c r="T263" s="103">
        <v>0</v>
      </c>
    </row>
    <row r="264" spans="1:20" x14ac:dyDescent="0.25">
      <c r="A264" s="266"/>
      <c r="B264" s="140"/>
      <c r="C264" s="4"/>
      <c r="D264" s="4"/>
      <c r="E264" s="140"/>
      <c r="F264" s="4"/>
      <c r="G264" s="4"/>
      <c r="H264" s="136"/>
      <c r="I264" s="3"/>
      <c r="J264" s="3"/>
      <c r="K264" s="28" t="s">
        <v>54</v>
      </c>
      <c r="L264" s="12" t="s">
        <v>55</v>
      </c>
      <c r="M264" s="52" t="s">
        <v>360</v>
      </c>
      <c r="N264" s="52" t="s">
        <v>57</v>
      </c>
      <c r="O264" s="93">
        <f>97970+604760</f>
        <v>702730</v>
      </c>
      <c r="P264" s="93">
        <f>97970+597893.64</f>
        <v>695863.64</v>
      </c>
      <c r="Q264" s="102">
        <f>275000+24700</f>
        <v>299700</v>
      </c>
      <c r="R264" s="102">
        <f>275000+24700</f>
        <v>299700</v>
      </c>
      <c r="S264" s="102">
        <f>275000+24700</f>
        <v>299700</v>
      </c>
      <c r="T264" s="102">
        <f>275000+24700</f>
        <v>299700</v>
      </c>
    </row>
    <row r="265" spans="1:20" x14ac:dyDescent="0.25">
      <c r="A265" s="266"/>
      <c r="B265" s="140"/>
      <c r="C265" s="4"/>
      <c r="D265" s="4"/>
      <c r="E265" s="140"/>
      <c r="F265" s="4"/>
      <c r="G265" s="4"/>
      <c r="H265" s="136"/>
      <c r="I265" s="3"/>
      <c r="J265" s="3"/>
      <c r="K265" s="28" t="s">
        <v>54</v>
      </c>
      <c r="L265" s="12" t="s">
        <v>55</v>
      </c>
      <c r="M265" s="52" t="s">
        <v>360</v>
      </c>
      <c r="N265" s="52" t="s">
        <v>62</v>
      </c>
      <c r="O265" s="93">
        <f>157070+51370+58321.71+125200+19000</f>
        <v>410961.71</v>
      </c>
      <c r="P265" s="93">
        <f>157070+51370+58320+77656+19000</f>
        <v>363416</v>
      </c>
      <c r="Q265" s="102">
        <f>125000+100000</f>
        <v>225000</v>
      </c>
      <c r="R265" s="102">
        <f>125000+100000</f>
        <v>225000</v>
      </c>
      <c r="S265" s="102">
        <f>125000+100000</f>
        <v>225000</v>
      </c>
      <c r="T265" s="103">
        <f>125000+100000</f>
        <v>225000</v>
      </c>
    </row>
    <row r="266" spans="1:20" x14ac:dyDescent="0.25">
      <c r="A266" s="266"/>
      <c r="B266" s="140"/>
      <c r="C266" s="4"/>
      <c r="D266" s="4"/>
      <c r="E266" s="140"/>
      <c r="F266" s="4"/>
      <c r="G266" s="4"/>
      <c r="H266" s="136"/>
      <c r="I266" s="3"/>
      <c r="J266" s="3"/>
      <c r="K266" s="28" t="s">
        <v>54</v>
      </c>
      <c r="L266" s="12" t="s">
        <v>55</v>
      </c>
      <c r="M266" s="12" t="s">
        <v>550</v>
      </c>
      <c r="N266" s="12" t="s">
        <v>57</v>
      </c>
      <c r="O266" s="102">
        <v>250000</v>
      </c>
      <c r="P266" s="102">
        <v>177458.58</v>
      </c>
      <c r="Q266" s="102">
        <v>200000</v>
      </c>
      <c r="R266" s="102">
        <v>200000</v>
      </c>
      <c r="S266" s="102">
        <v>200000</v>
      </c>
      <c r="T266" s="103">
        <v>200000</v>
      </c>
    </row>
    <row r="267" spans="1:20" x14ac:dyDescent="0.25">
      <c r="A267" s="266"/>
      <c r="B267" s="140"/>
      <c r="C267" s="4"/>
      <c r="D267" s="4"/>
      <c r="E267" s="140"/>
      <c r="F267" s="4"/>
      <c r="G267" s="4"/>
      <c r="H267" s="136"/>
      <c r="I267" s="3"/>
      <c r="J267" s="3"/>
      <c r="K267" s="28" t="s">
        <v>54</v>
      </c>
      <c r="L267" s="12" t="s">
        <v>55</v>
      </c>
      <c r="M267" s="12" t="s">
        <v>66</v>
      </c>
      <c r="N267" s="12" t="s">
        <v>57</v>
      </c>
      <c r="O267" s="102">
        <f>803000+263364.6</f>
        <v>1066364.6000000001</v>
      </c>
      <c r="P267" s="102">
        <f>798525.65+263364.6</f>
        <v>1061890.25</v>
      </c>
      <c r="Q267" s="102">
        <f>1005000+241900</f>
        <v>1246900</v>
      </c>
      <c r="R267" s="102">
        <f>850000+241900</f>
        <v>1091900</v>
      </c>
      <c r="S267" s="102">
        <f>505000+241900</f>
        <v>746900</v>
      </c>
      <c r="T267" s="103">
        <f>505000+241900</f>
        <v>746900</v>
      </c>
    </row>
    <row r="268" spans="1:20" x14ac:dyDescent="0.25">
      <c r="A268" s="266"/>
      <c r="B268" s="140"/>
      <c r="C268" s="4"/>
      <c r="D268" s="4"/>
      <c r="E268" s="140"/>
      <c r="F268" s="4"/>
      <c r="G268" s="4"/>
      <c r="H268" s="136"/>
      <c r="I268" s="3"/>
      <c r="J268" s="3"/>
      <c r="K268" s="28" t="s">
        <v>54</v>
      </c>
      <c r="L268" s="12" t="s">
        <v>55</v>
      </c>
      <c r="M268" s="12" t="s">
        <v>72</v>
      </c>
      <c r="N268" s="12" t="s">
        <v>57</v>
      </c>
      <c r="O268" s="7">
        <v>109000</v>
      </c>
      <c r="P268" s="7">
        <v>104808.91</v>
      </c>
      <c r="Q268" s="102">
        <f>78528.61+60568.02</f>
        <v>139096.63</v>
      </c>
      <c r="R268" s="102">
        <v>0</v>
      </c>
      <c r="S268" s="102">
        <v>0</v>
      </c>
      <c r="T268" s="103">
        <v>0</v>
      </c>
    </row>
    <row r="269" spans="1:20" x14ac:dyDescent="0.25">
      <c r="A269" s="266"/>
      <c r="B269" s="140"/>
      <c r="C269" s="4"/>
      <c r="D269" s="4"/>
      <c r="E269" s="140"/>
      <c r="F269" s="4"/>
      <c r="G269" s="4"/>
      <c r="H269" s="136"/>
      <c r="I269" s="3"/>
      <c r="J269" s="3"/>
      <c r="K269" s="28" t="s">
        <v>54</v>
      </c>
      <c r="L269" s="12" t="s">
        <v>55</v>
      </c>
      <c r="M269" s="12" t="s">
        <v>72</v>
      </c>
      <c r="N269" s="12" t="s">
        <v>107</v>
      </c>
      <c r="O269" s="7">
        <v>0</v>
      </c>
      <c r="P269" s="7">
        <v>0</v>
      </c>
      <c r="Q269" s="102">
        <f>489648.98+141325.38</f>
        <v>630974.36</v>
      </c>
      <c r="R269" s="102">
        <v>0</v>
      </c>
      <c r="S269" s="102">
        <v>0</v>
      </c>
      <c r="T269" s="103">
        <v>0</v>
      </c>
    </row>
    <row r="270" spans="1:20" x14ac:dyDescent="0.25">
      <c r="A270" s="266"/>
      <c r="B270" s="140"/>
      <c r="C270" s="4"/>
      <c r="D270" s="4"/>
      <c r="E270" s="140"/>
      <c r="F270" s="4"/>
      <c r="G270" s="4"/>
      <c r="H270" s="136"/>
      <c r="I270" s="3"/>
      <c r="J270" s="3"/>
      <c r="K270" s="28" t="s">
        <v>54</v>
      </c>
      <c r="L270" s="12" t="s">
        <v>60</v>
      </c>
      <c r="M270" s="12" t="s">
        <v>61</v>
      </c>
      <c r="N270" s="12" t="s">
        <v>62</v>
      </c>
      <c r="O270" s="102">
        <f>946482+139900+311486</f>
        <v>1397868</v>
      </c>
      <c r="P270" s="102">
        <f>925376.97+139091.13+310565</f>
        <v>1375033.1</v>
      </c>
      <c r="Q270" s="102">
        <f>1040500+386900+150000</f>
        <v>1577400</v>
      </c>
      <c r="R270" s="102">
        <f>990000+386900+210000</f>
        <v>1586900</v>
      </c>
      <c r="S270" s="102">
        <f>990000+386900+230000</f>
        <v>1606900</v>
      </c>
      <c r="T270" s="103">
        <f>990000+386900+230000</f>
        <v>1606900</v>
      </c>
    </row>
    <row r="271" spans="1:20" x14ac:dyDescent="0.25">
      <c r="A271" s="266"/>
      <c r="B271" s="140"/>
      <c r="C271" s="4"/>
      <c r="D271" s="4"/>
      <c r="E271" s="140"/>
      <c r="F271" s="4"/>
      <c r="G271" s="4"/>
      <c r="H271" s="136"/>
      <c r="I271" s="3"/>
      <c r="J271" s="3"/>
      <c r="K271" s="28" t="s">
        <v>54</v>
      </c>
      <c r="L271" s="12" t="s">
        <v>60</v>
      </c>
      <c r="M271" s="12" t="s">
        <v>63</v>
      </c>
      <c r="N271" s="12" t="s">
        <v>62</v>
      </c>
      <c r="O271" s="102">
        <f>381968+17764</f>
        <v>399732</v>
      </c>
      <c r="P271" s="102">
        <f>308380.06+17413</f>
        <v>325793.06</v>
      </c>
      <c r="Q271" s="93">
        <f>156000+13100</f>
        <v>169100</v>
      </c>
      <c r="R271" s="93">
        <f>206500+14401.14+50000+308500</f>
        <v>579401.14</v>
      </c>
      <c r="S271" s="93">
        <f>206500+14401.14</f>
        <v>220901.14</v>
      </c>
      <c r="T271" s="93">
        <f>206500+15500</f>
        <v>222000</v>
      </c>
    </row>
    <row r="272" spans="1:20" x14ac:dyDescent="0.25">
      <c r="A272" s="266"/>
      <c r="B272" s="140"/>
      <c r="C272" s="4"/>
      <c r="D272" s="4"/>
      <c r="E272" s="140"/>
      <c r="F272" s="4"/>
      <c r="G272" s="4"/>
      <c r="H272" s="136"/>
      <c r="I272" s="3"/>
      <c r="J272" s="3"/>
      <c r="K272" s="28" t="s">
        <v>55</v>
      </c>
      <c r="L272" s="12" t="s">
        <v>121</v>
      </c>
      <c r="M272" s="12" t="s">
        <v>366</v>
      </c>
      <c r="N272" s="12" t="s">
        <v>62</v>
      </c>
      <c r="O272" s="102">
        <v>11400</v>
      </c>
      <c r="P272" s="102">
        <v>11400</v>
      </c>
      <c r="Q272" s="7">
        <v>13042</v>
      </c>
      <c r="R272" s="102">
        <v>8715.41</v>
      </c>
      <c r="S272" s="102">
        <v>8715.41</v>
      </c>
      <c r="T272" s="103">
        <v>8715.41</v>
      </c>
    </row>
    <row r="273" spans="1:20" x14ac:dyDescent="0.25">
      <c r="A273" s="266"/>
      <c r="B273" s="140"/>
      <c r="C273" s="4"/>
      <c r="D273" s="4"/>
      <c r="E273" s="140"/>
      <c r="F273" s="4"/>
      <c r="G273" s="4"/>
      <c r="H273" s="136"/>
      <c r="I273" s="3"/>
      <c r="J273" s="3"/>
      <c r="K273" s="28" t="s">
        <v>55</v>
      </c>
      <c r="L273" s="12" t="s">
        <v>121</v>
      </c>
      <c r="M273" s="12" t="s">
        <v>225</v>
      </c>
      <c r="N273" s="12" t="s">
        <v>62</v>
      </c>
      <c r="O273" s="102">
        <v>1650</v>
      </c>
      <c r="P273" s="102">
        <v>1650</v>
      </c>
      <c r="Q273" s="102">
        <v>600</v>
      </c>
      <c r="R273" s="102">
        <v>600</v>
      </c>
      <c r="S273" s="102">
        <v>600</v>
      </c>
      <c r="T273" s="103">
        <v>600</v>
      </c>
    </row>
    <row r="274" spans="1:20" x14ac:dyDescent="0.25">
      <c r="A274" s="266"/>
      <c r="B274" s="140"/>
      <c r="C274" s="4"/>
      <c r="D274" s="4"/>
      <c r="E274" s="140"/>
      <c r="F274" s="4"/>
      <c r="G274" s="4"/>
      <c r="H274" s="136"/>
      <c r="I274" s="3"/>
      <c r="J274" s="3"/>
      <c r="K274" s="28" t="s">
        <v>54</v>
      </c>
      <c r="L274" s="12" t="s">
        <v>60</v>
      </c>
      <c r="M274" s="12" t="s">
        <v>64</v>
      </c>
      <c r="N274" s="12" t="s">
        <v>62</v>
      </c>
      <c r="O274" s="102">
        <f>130000+71000</f>
        <v>201000</v>
      </c>
      <c r="P274" s="102">
        <f>130000+70800</f>
        <v>200800</v>
      </c>
      <c r="Q274" s="102">
        <f>130000+71000</f>
        <v>201000</v>
      </c>
      <c r="R274" s="102">
        <f>130000+72000</f>
        <v>202000</v>
      </c>
      <c r="S274" s="102">
        <f>130000+72000</f>
        <v>202000</v>
      </c>
      <c r="T274" s="103">
        <f>130000+72000</f>
        <v>202000</v>
      </c>
    </row>
    <row r="275" spans="1:20" x14ac:dyDescent="0.25">
      <c r="A275" s="266"/>
      <c r="B275" s="140"/>
      <c r="C275" s="4"/>
      <c r="D275" s="4"/>
      <c r="E275" s="140"/>
      <c r="F275" s="4"/>
      <c r="G275" s="4"/>
      <c r="H275" s="136"/>
      <c r="I275" s="3"/>
      <c r="J275" s="3"/>
      <c r="K275" s="28" t="s">
        <v>54</v>
      </c>
      <c r="L275" s="12" t="s">
        <v>60</v>
      </c>
      <c r="M275" s="12" t="s">
        <v>65</v>
      </c>
      <c r="N275" s="12" t="s">
        <v>62</v>
      </c>
      <c r="O275" s="102">
        <v>200000</v>
      </c>
      <c r="P275" s="102">
        <v>187124</v>
      </c>
      <c r="Q275" s="102">
        <f>1686710</f>
        <v>1686710</v>
      </c>
      <c r="R275" s="102">
        <f>1354100</f>
        <v>1354100</v>
      </c>
      <c r="S275" s="102">
        <f>1354100</f>
        <v>1354100</v>
      </c>
      <c r="T275" s="103">
        <f>1354100</f>
        <v>1354100</v>
      </c>
    </row>
    <row r="276" spans="1:20" x14ac:dyDescent="0.25">
      <c r="A276" s="266"/>
      <c r="B276" s="140"/>
      <c r="C276" s="4"/>
      <c r="D276" s="4"/>
      <c r="E276" s="140"/>
      <c r="F276" s="4"/>
      <c r="G276" s="4"/>
      <c r="H276" s="136"/>
      <c r="I276" s="3"/>
      <c r="J276" s="3"/>
      <c r="K276" s="28" t="s">
        <v>54</v>
      </c>
      <c r="L276" s="12" t="s">
        <v>60</v>
      </c>
      <c r="M276" s="12" t="s">
        <v>67</v>
      </c>
      <c r="N276" s="12" t="s">
        <v>62</v>
      </c>
      <c r="O276" s="102">
        <f>371884.02+117600+334663.69</f>
        <v>824147.71</v>
      </c>
      <c r="P276" s="102">
        <f>361065.4+93358.26+334636.14</f>
        <v>789059.8</v>
      </c>
      <c r="Q276" s="102">
        <f>1178100+216600+93200</f>
        <v>1487900</v>
      </c>
      <c r="R276" s="102">
        <f>1718100+216600+113200-200000</f>
        <v>1847900</v>
      </c>
      <c r="S276" s="102">
        <f>1218100+216600+113200</f>
        <v>1547900</v>
      </c>
      <c r="T276" s="103">
        <f>1218100+217901.14+113200</f>
        <v>1549201.1400000001</v>
      </c>
    </row>
    <row r="277" spans="1:20" x14ac:dyDescent="0.25">
      <c r="A277" s="266"/>
      <c r="B277" s="140"/>
      <c r="C277" s="4"/>
      <c r="D277" s="4"/>
      <c r="E277" s="140"/>
      <c r="F277" s="4"/>
      <c r="G277" s="4"/>
      <c r="H277" s="136"/>
      <c r="I277" s="3"/>
      <c r="J277" s="3"/>
      <c r="K277" s="28" t="s">
        <v>54</v>
      </c>
      <c r="L277" s="12" t="s">
        <v>60</v>
      </c>
      <c r="M277" s="12" t="s">
        <v>67</v>
      </c>
      <c r="N277" s="12" t="s">
        <v>68</v>
      </c>
      <c r="O277" s="102">
        <f>5000+500</f>
        <v>5500</v>
      </c>
      <c r="P277" s="102">
        <f>2194.04+121.49</f>
        <v>2315.5299999999997</v>
      </c>
      <c r="Q277" s="102">
        <f>5000+2400</f>
        <v>7400</v>
      </c>
      <c r="R277" s="102">
        <f>84544.17+18537</f>
        <v>103081.17</v>
      </c>
      <c r="S277" s="102">
        <f>5000+2400</f>
        <v>7400</v>
      </c>
      <c r="T277" s="103">
        <v>5000</v>
      </c>
    </row>
    <row r="278" spans="1:20" x14ac:dyDescent="0.25">
      <c r="A278" s="266"/>
      <c r="B278" s="140"/>
      <c r="C278" s="4"/>
      <c r="D278" s="4"/>
      <c r="E278" s="140"/>
      <c r="F278" s="4"/>
      <c r="G278" s="4"/>
      <c r="H278" s="136"/>
      <c r="I278" s="3"/>
      <c r="J278" s="3"/>
      <c r="K278" s="28" t="s">
        <v>54</v>
      </c>
      <c r="L278" s="12" t="s">
        <v>60</v>
      </c>
      <c r="M278" s="12" t="s">
        <v>551</v>
      </c>
      <c r="N278" s="12" t="s">
        <v>68</v>
      </c>
      <c r="O278" s="102">
        <v>0</v>
      </c>
      <c r="P278" s="102">
        <v>0</v>
      </c>
      <c r="Q278" s="102">
        <f>72000+3500</f>
        <v>75500</v>
      </c>
      <c r="R278" s="102">
        <v>6229.88</v>
      </c>
      <c r="S278" s="102">
        <v>5000</v>
      </c>
      <c r="T278" s="103">
        <v>5000</v>
      </c>
    </row>
    <row r="279" spans="1:20" x14ac:dyDescent="0.25">
      <c r="A279" s="266"/>
      <c r="B279" s="140"/>
      <c r="C279" s="4"/>
      <c r="D279" s="4"/>
      <c r="E279" s="140"/>
      <c r="F279" s="4"/>
      <c r="G279" s="4"/>
      <c r="H279" s="136"/>
      <c r="I279" s="3"/>
      <c r="J279" s="3"/>
      <c r="K279" s="28" t="s">
        <v>54</v>
      </c>
      <c r="L279" s="12" t="s">
        <v>60</v>
      </c>
      <c r="M279" s="12" t="s">
        <v>188</v>
      </c>
      <c r="N279" s="12" t="s">
        <v>68</v>
      </c>
      <c r="O279" s="102">
        <f>292793+219438.4</f>
        <v>512231.4</v>
      </c>
      <c r="P279" s="102">
        <f>292793+219438</f>
        <v>512231</v>
      </c>
      <c r="Q279" s="102">
        <f>535000+220938</f>
        <v>755938</v>
      </c>
      <c r="R279" s="102">
        <v>507288.8</v>
      </c>
      <c r="S279" s="102">
        <v>508058.8</v>
      </c>
      <c r="T279" s="103">
        <v>508128.8</v>
      </c>
    </row>
    <row r="280" spans="1:20" x14ac:dyDescent="0.25">
      <c r="A280" s="266"/>
      <c r="B280" s="140"/>
      <c r="C280" s="4"/>
      <c r="D280" s="4"/>
      <c r="E280" s="140"/>
      <c r="F280" s="4"/>
      <c r="G280" s="4"/>
      <c r="H280" s="136"/>
      <c r="I280" s="3"/>
      <c r="J280" s="3"/>
      <c r="K280" s="28" t="s">
        <v>54</v>
      </c>
      <c r="L280" s="12" t="s">
        <v>60</v>
      </c>
      <c r="M280" s="12" t="s">
        <v>224</v>
      </c>
      <c r="N280" s="12" t="s">
        <v>62</v>
      </c>
      <c r="O280" s="102">
        <v>806776</v>
      </c>
      <c r="P280" s="102">
        <v>795054.4</v>
      </c>
      <c r="Q280" s="102">
        <v>300000</v>
      </c>
      <c r="R280" s="102">
        <v>420000</v>
      </c>
      <c r="S280" s="102">
        <v>470000</v>
      </c>
      <c r="T280" s="103">
        <v>470000</v>
      </c>
    </row>
    <row r="281" spans="1:20" x14ac:dyDescent="0.25">
      <c r="A281" s="266"/>
      <c r="B281" s="140"/>
      <c r="C281" s="4"/>
      <c r="D281" s="4"/>
      <c r="E281" s="140"/>
      <c r="F281" s="4"/>
      <c r="G281" s="4"/>
      <c r="H281" s="136"/>
      <c r="I281" s="3"/>
      <c r="J281" s="3"/>
      <c r="K281" s="28" t="s">
        <v>54</v>
      </c>
      <c r="L281" s="12" t="s">
        <v>60</v>
      </c>
      <c r="M281" s="12" t="s">
        <v>75</v>
      </c>
      <c r="N281" s="12" t="s">
        <v>107</v>
      </c>
      <c r="O281" s="102">
        <v>163432.70000000001</v>
      </c>
      <c r="P281" s="102">
        <v>163432.70000000001</v>
      </c>
      <c r="Q281" s="102">
        <v>117435.97</v>
      </c>
      <c r="R281" s="102">
        <v>0</v>
      </c>
      <c r="S281" s="102">
        <v>0</v>
      </c>
      <c r="T281" s="103">
        <v>0</v>
      </c>
    </row>
    <row r="282" spans="1:20" x14ac:dyDescent="0.25">
      <c r="A282" s="266"/>
      <c r="B282" s="140"/>
      <c r="C282" s="4"/>
      <c r="D282" s="4"/>
      <c r="E282" s="140"/>
      <c r="F282" s="4"/>
      <c r="G282" s="4"/>
      <c r="H282" s="136"/>
      <c r="I282" s="3"/>
      <c r="J282" s="3"/>
      <c r="K282" s="28" t="s">
        <v>121</v>
      </c>
      <c r="L282" s="12" t="s">
        <v>54</v>
      </c>
      <c r="M282" s="12" t="s">
        <v>233</v>
      </c>
      <c r="N282" s="12" t="s">
        <v>107</v>
      </c>
      <c r="O282" s="7">
        <v>3880000</v>
      </c>
      <c r="P282" s="7">
        <v>3836344.4</v>
      </c>
      <c r="Q282" s="102">
        <v>4130000</v>
      </c>
      <c r="R282" s="102">
        <v>5580000</v>
      </c>
      <c r="S282" s="102">
        <v>6030000</v>
      </c>
      <c r="T282" s="103">
        <v>6030000</v>
      </c>
    </row>
    <row r="283" spans="1:20" ht="82.5" x14ac:dyDescent="0.25">
      <c r="A283" s="279" t="s">
        <v>365</v>
      </c>
      <c r="B283" s="125" t="s">
        <v>372</v>
      </c>
      <c r="C283" s="126" t="s">
        <v>378</v>
      </c>
      <c r="D283" s="126" t="s">
        <v>374</v>
      </c>
      <c r="E283" s="167" t="s">
        <v>504</v>
      </c>
      <c r="F283" s="162" t="s">
        <v>380</v>
      </c>
      <c r="G283" s="162" t="s">
        <v>505</v>
      </c>
      <c r="H283" s="136"/>
      <c r="I283" s="3"/>
      <c r="J283" s="3"/>
      <c r="K283" s="28"/>
      <c r="L283" s="12"/>
      <c r="M283" s="12"/>
      <c r="N283" s="12"/>
      <c r="O283" s="86">
        <f>O284</f>
        <v>0</v>
      </c>
      <c r="P283" s="86">
        <f t="shared" ref="P283:T283" si="24">P284</f>
        <v>0</v>
      </c>
      <c r="Q283" s="86">
        <f t="shared" si="24"/>
        <v>10600000</v>
      </c>
      <c r="R283" s="86">
        <f t="shared" si="24"/>
        <v>21671250</v>
      </c>
      <c r="S283" s="86">
        <f t="shared" si="24"/>
        <v>36500000</v>
      </c>
      <c r="T283" s="86">
        <f t="shared" si="24"/>
        <v>49000000</v>
      </c>
    </row>
    <row r="284" spans="1:20" x14ac:dyDescent="0.25">
      <c r="A284" s="281"/>
      <c r="B284" s="140"/>
      <c r="C284" s="4"/>
      <c r="D284" s="4"/>
      <c r="E284" s="140"/>
      <c r="F284" s="4"/>
      <c r="G284" s="4"/>
      <c r="H284" s="136"/>
      <c r="I284" s="3"/>
      <c r="J284" s="3"/>
      <c r="K284" s="28" t="s">
        <v>60</v>
      </c>
      <c r="L284" s="12" t="s">
        <v>54</v>
      </c>
      <c r="M284" s="12" t="s">
        <v>546</v>
      </c>
      <c r="N284" s="12" t="s">
        <v>547</v>
      </c>
      <c r="O284" s="7">
        <v>0</v>
      </c>
      <c r="P284" s="7">
        <v>0</v>
      </c>
      <c r="Q284" s="7">
        <v>10600000</v>
      </c>
      <c r="R284" s="7">
        <f>21118250+553000</f>
        <v>21671250</v>
      </c>
      <c r="S284" s="7">
        <v>36500000</v>
      </c>
      <c r="T284" s="87">
        <v>49000000</v>
      </c>
    </row>
    <row r="285" spans="1:20" ht="82.5" x14ac:dyDescent="0.25">
      <c r="A285" s="266" t="s">
        <v>364</v>
      </c>
      <c r="B285" s="125" t="s">
        <v>372</v>
      </c>
      <c r="C285" s="126" t="s">
        <v>506</v>
      </c>
      <c r="D285" s="183" t="s">
        <v>374</v>
      </c>
      <c r="E285" s="182" t="s">
        <v>388</v>
      </c>
      <c r="F285" s="163" t="s">
        <v>380</v>
      </c>
      <c r="G285" s="163" t="s">
        <v>389</v>
      </c>
      <c r="H285" s="15" t="s">
        <v>285</v>
      </c>
      <c r="I285" s="16"/>
      <c r="J285" s="17" t="s">
        <v>286</v>
      </c>
      <c r="K285" s="28"/>
      <c r="L285" s="12"/>
      <c r="M285" s="12"/>
      <c r="N285" s="12"/>
      <c r="O285" s="107">
        <f>SUM(O286:O304)</f>
        <v>129171611.23999999</v>
      </c>
      <c r="P285" s="107">
        <f t="shared" ref="P285:T285" si="25">SUM(P286:P304)</f>
        <v>126372966.92</v>
      </c>
      <c r="Q285" s="107">
        <f t="shared" si="25"/>
        <v>120348139.40000001</v>
      </c>
      <c r="R285" s="107">
        <f t="shared" si="25"/>
        <v>113197478.5</v>
      </c>
      <c r="S285" s="107">
        <f t="shared" si="25"/>
        <v>105875784.95</v>
      </c>
      <c r="T285" s="107">
        <f t="shared" si="25"/>
        <v>105972728.95</v>
      </c>
    </row>
    <row r="286" spans="1:20" ht="66" x14ac:dyDescent="0.25">
      <c r="A286" s="266"/>
      <c r="B286" s="141"/>
      <c r="C286" s="5"/>
      <c r="D286" s="184"/>
      <c r="E286" s="182" t="s">
        <v>397</v>
      </c>
      <c r="F286" s="163" t="s">
        <v>398</v>
      </c>
      <c r="G286" s="163" t="s">
        <v>399</v>
      </c>
      <c r="H286" s="15" t="s">
        <v>287</v>
      </c>
      <c r="I286" s="16"/>
      <c r="J286" s="17" t="s">
        <v>288</v>
      </c>
      <c r="K286" s="51" t="s">
        <v>153</v>
      </c>
      <c r="L286" s="52" t="s">
        <v>153</v>
      </c>
      <c r="M286" s="38" t="s">
        <v>189</v>
      </c>
      <c r="N286" s="52" t="s">
        <v>57</v>
      </c>
      <c r="O286" s="93">
        <v>175862</v>
      </c>
      <c r="P286" s="93">
        <v>175861.56</v>
      </c>
      <c r="Q286" s="93">
        <v>306800</v>
      </c>
      <c r="R286" s="93">
        <v>400000</v>
      </c>
      <c r="S286" s="93">
        <v>400000</v>
      </c>
      <c r="T286" s="93">
        <v>400000</v>
      </c>
    </row>
    <row r="287" spans="1:20" ht="49.5" x14ac:dyDescent="0.25">
      <c r="A287" s="266"/>
      <c r="B287" s="141"/>
      <c r="C287" s="5"/>
      <c r="D287" s="5"/>
      <c r="E287" s="136"/>
      <c r="F287" s="3"/>
      <c r="G287" s="3"/>
      <c r="H287" s="15" t="s">
        <v>342</v>
      </c>
      <c r="I287" s="3"/>
      <c r="J287" s="3" t="s">
        <v>343</v>
      </c>
      <c r="K287" s="51" t="s">
        <v>153</v>
      </c>
      <c r="L287" s="52" t="s">
        <v>153</v>
      </c>
      <c r="M287" s="38" t="s">
        <v>190</v>
      </c>
      <c r="N287" s="52" t="s">
        <v>57</v>
      </c>
      <c r="O287" s="93">
        <v>19067326.699999999</v>
      </c>
      <c r="P287" s="93">
        <v>17338054.899999999</v>
      </c>
      <c r="Q287" s="93">
        <v>19047258.699999999</v>
      </c>
      <c r="R287" s="93">
        <v>22435188.859999999</v>
      </c>
      <c r="S287" s="93">
        <v>21673000.140000001</v>
      </c>
      <c r="T287" s="93">
        <v>21672500.140000001</v>
      </c>
    </row>
    <row r="288" spans="1:20" ht="41.25" x14ac:dyDescent="0.25">
      <c r="A288" s="266"/>
      <c r="B288" s="141"/>
      <c r="C288" s="5"/>
      <c r="D288" s="5"/>
      <c r="E288" s="136"/>
      <c r="F288" s="3"/>
      <c r="G288" s="3"/>
      <c r="H288" s="136" t="s">
        <v>262</v>
      </c>
      <c r="I288" s="3" t="s">
        <v>49</v>
      </c>
      <c r="J288" s="3" t="s">
        <v>308</v>
      </c>
      <c r="K288" s="51" t="s">
        <v>153</v>
      </c>
      <c r="L288" s="52" t="s">
        <v>153</v>
      </c>
      <c r="M288" s="38" t="s">
        <v>190</v>
      </c>
      <c r="N288" s="52" t="s">
        <v>62</v>
      </c>
      <c r="O288" s="93">
        <v>2429871.2999999998</v>
      </c>
      <c r="P288" s="93">
        <v>2023754.57</v>
      </c>
      <c r="Q288" s="93">
        <v>2385349.13</v>
      </c>
      <c r="R288" s="93">
        <v>3085461</v>
      </c>
      <c r="S288" s="93">
        <v>3208926</v>
      </c>
      <c r="T288" s="93">
        <v>3306370</v>
      </c>
    </row>
    <row r="289" spans="1:20" ht="41.25" x14ac:dyDescent="0.25">
      <c r="A289" s="266"/>
      <c r="B289" s="141"/>
      <c r="C289" s="5"/>
      <c r="D289" s="5"/>
      <c r="E289" s="136"/>
      <c r="F289" s="3"/>
      <c r="G289" s="3"/>
      <c r="H289" s="136" t="s">
        <v>69</v>
      </c>
      <c r="I289" s="3" t="s">
        <v>289</v>
      </c>
      <c r="J289" s="3" t="s">
        <v>250</v>
      </c>
      <c r="K289" s="51" t="s">
        <v>153</v>
      </c>
      <c r="L289" s="52" t="s">
        <v>153</v>
      </c>
      <c r="M289" s="38" t="s">
        <v>190</v>
      </c>
      <c r="N289" s="52" t="s">
        <v>68</v>
      </c>
      <c r="O289" s="93">
        <v>2255987.21</v>
      </c>
      <c r="P289" s="93">
        <v>1759723.21</v>
      </c>
      <c r="Q289" s="93">
        <v>490000</v>
      </c>
      <c r="R289" s="93">
        <v>1540073.4</v>
      </c>
      <c r="S289" s="93">
        <v>131200</v>
      </c>
      <c r="T289" s="93">
        <v>131200</v>
      </c>
    </row>
    <row r="290" spans="1:20" ht="66" x14ac:dyDescent="0.25">
      <c r="A290" s="266"/>
      <c r="B290" s="141"/>
      <c r="C290" s="5"/>
      <c r="D290" s="5"/>
      <c r="E290" s="136"/>
      <c r="F290" s="3"/>
      <c r="G290" s="3"/>
      <c r="H290" s="15" t="s">
        <v>245</v>
      </c>
      <c r="I290" s="3"/>
      <c r="J290" s="3" t="s">
        <v>319</v>
      </c>
      <c r="K290" s="51" t="s">
        <v>153</v>
      </c>
      <c r="L290" s="52" t="s">
        <v>153</v>
      </c>
      <c r="M290" s="38" t="s">
        <v>574</v>
      </c>
      <c r="N290" s="52" t="s">
        <v>68</v>
      </c>
      <c r="O290" s="197">
        <v>0</v>
      </c>
      <c r="P290" s="197">
        <v>0</v>
      </c>
      <c r="Q290" s="197">
        <v>1400075.5</v>
      </c>
      <c r="R290" s="197">
        <v>0</v>
      </c>
      <c r="S290" s="197">
        <v>0</v>
      </c>
      <c r="T290" s="197">
        <v>0</v>
      </c>
    </row>
    <row r="291" spans="1:20" ht="33" x14ac:dyDescent="0.25">
      <c r="A291" s="266"/>
      <c r="B291" s="141"/>
      <c r="C291" s="5"/>
      <c r="D291" s="5"/>
      <c r="E291" s="136"/>
      <c r="F291" s="3"/>
      <c r="G291" s="3"/>
      <c r="H291" s="143" t="s">
        <v>152</v>
      </c>
      <c r="I291" s="3"/>
      <c r="J291" s="3" t="s">
        <v>299</v>
      </c>
      <c r="K291" s="28" t="s">
        <v>54</v>
      </c>
      <c r="L291" s="12" t="s">
        <v>60</v>
      </c>
      <c r="M291" s="12" t="s">
        <v>226</v>
      </c>
      <c r="N291" s="12" t="s">
        <v>106</v>
      </c>
      <c r="O291" s="7">
        <v>966991.35</v>
      </c>
      <c r="P291" s="7">
        <v>800000</v>
      </c>
      <c r="Q291" s="7">
        <v>907880</v>
      </c>
      <c r="R291" s="7">
        <v>750000</v>
      </c>
      <c r="S291" s="7">
        <v>500000</v>
      </c>
      <c r="T291" s="87">
        <v>500000</v>
      </c>
    </row>
    <row r="292" spans="1:20" x14ac:dyDescent="0.25">
      <c r="A292" s="266"/>
      <c r="B292" s="141"/>
      <c r="C292" s="5"/>
      <c r="D292" s="5"/>
      <c r="E292" s="136"/>
      <c r="F292" s="3"/>
      <c r="G292" s="3"/>
      <c r="H292" s="143"/>
      <c r="I292" s="3"/>
      <c r="J292" s="3"/>
      <c r="K292" s="28" t="s">
        <v>54</v>
      </c>
      <c r="L292" s="12" t="s">
        <v>60</v>
      </c>
      <c r="M292" s="12" t="s">
        <v>227</v>
      </c>
      <c r="N292" s="12" t="s">
        <v>106</v>
      </c>
      <c r="O292" s="7">
        <v>47170835.950000003</v>
      </c>
      <c r="P292" s="7">
        <v>47170835.950000003</v>
      </c>
      <c r="Q292" s="7">
        <v>45212573</v>
      </c>
      <c r="R292" s="7">
        <f>47982880.07-553000</f>
        <v>47429880.07</v>
      </c>
      <c r="S292" s="7">
        <v>45665659</v>
      </c>
      <c r="T292" s="87">
        <v>45665659</v>
      </c>
    </row>
    <row r="293" spans="1:20" x14ac:dyDescent="0.25">
      <c r="A293" s="266"/>
      <c r="B293" s="141"/>
      <c r="C293" s="5"/>
      <c r="D293" s="5"/>
      <c r="E293" s="136"/>
      <c r="F293" s="3"/>
      <c r="G293" s="3"/>
      <c r="H293" s="136"/>
      <c r="I293" s="3"/>
      <c r="J293" s="3"/>
      <c r="K293" s="28" t="s">
        <v>54</v>
      </c>
      <c r="L293" s="12" t="s">
        <v>60</v>
      </c>
      <c r="M293" s="12" t="s">
        <v>334</v>
      </c>
      <c r="N293" s="12" t="s">
        <v>106</v>
      </c>
      <c r="O293" s="7">
        <v>0</v>
      </c>
      <c r="P293" s="7">
        <v>0</v>
      </c>
      <c r="Q293" s="7">
        <v>12800000</v>
      </c>
      <c r="R293" s="7">
        <v>0</v>
      </c>
      <c r="S293" s="7">
        <v>0</v>
      </c>
      <c r="T293" s="87">
        <v>0</v>
      </c>
    </row>
    <row r="294" spans="1:20" x14ac:dyDescent="0.25">
      <c r="A294" s="266"/>
      <c r="B294" s="141"/>
      <c r="C294" s="5"/>
      <c r="D294" s="5"/>
      <c r="E294" s="136"/>
      <c r="F294" s="3"/>
      <c r="G294" s="3"/>
      <c r="H294" s="136"/>
      <c r="I294" s="3"/>
      <c r="J294" s="3"/>
      <c r="K294" s="28" t="s">
        <v>55</v>
      </c>
      <c r="L294" s="12" t="s">
        <v>121</v>
      </c>
      <c r="M294" s="12" t="s">
        <v>226</v>
      </c>
      <c r="N294" s="12" t="s">
        <v>106</v>
      </c>
      <c r="O294" s="7">
        <v>239800</v>
      </c>
      <c r="P294" s="7">
        <v>239800</v>
      </c>
      <c r="Q294" s="7">
        <v>750000</v>
      </c>
      <c r="R294" s="7">
        <v>750000</v>
      </c>
      <c r="S294" s="7">
        <v>500000</v>
      </c>
      <c r="T294" s="87">
        <v>500000</v>
      </c>
    </row>
    <row r="295" spans="1:20" x14ac:dyDescent="0.25">
      <c r="A295" s="266"/>
      <c r="B295" s="141"/>
      <c r="C295" s="5"/>
      <c r="D295" s="5"/>
      <c r="E295" s="136"/>
      <c r="F295" s="3"/>
      <c r="G295" s="3"/>
      <c r="H295" s="136"/>
      <c r="I295" s="3"/>
      <c r="J295" s="3"/>
      <c r="K295" s="28" t="s">
        <v>55</v>
      </c>
      <c r="L295" s="12" t="s">
        <v>121</v>
      </c>
      <c r="M295" s="12" t="s">
        <v>228</v>
      </c>
      <c r="N295" s="12" t="s">
        <v>106</v>
      </c>
      <c r="O295" s="7">
        <v>17991300.84</v>
      </c>
      <c r="P295" s="7">
        <v>17991300.84</v>
      </c>
      <c r="Q295" s="7">
        <v>20085820.84</v>
      </c>
      <c r="R295" s="7">
        <v>20847655.07</v>
      </c>
      <c r="S295" s="7">
        <v>18431127.809999999</v>
      </c>
      <c r="T295" s="87">
        <v>18431127.809999999</v>
      </c>
    </row>
    <row r="296" spans="1:20" x14ac:dyDescent="0.25">
      <c r="A296" s="266"/>
      <c r="B296" s="141"/>
      <c r="C296" s="5"/>
      <c r="D296" s="5"/>
      <c r="E296" s="136"/>
      <c r="F296" s="3"/>
      <c r="G296" s="3"/>
      <c r="H296" s="136"/>
      <c r="I296" s="3"/>
      <c r="J296" s="3"/>
      <c r="K296" s="28" t="s">
        <v>55</v>
      </c>
      <c r="L296" s="12" t="s">
        <v>121</v>
      </c>
      <c r="M296" s="12" t="s">
        <v>229</v>
      </c>
      <c r="N296" s="12" t="s">
        <v>106</v>
      </c>
      <c r="O296" s="7">
        <v>6622992.9299999997</v>
      </c>
      <c r="P296" s="7">
        <v>6622992.9299999997</v>
      </c>
      <c r="Q296" s="7">
        <v>1580215.23</v>
      </c>
      <c r="R296" s="7">
        <v>0</v>
      </c>
      <c r="S296" s="7">
        <v>0</v>
      </c>
      <c r="T296" s="87">
        <v>0</v>
      </c>
    </row>
    <row r="297" spans="1:20" x14ac:dyDescent="0.25">
      <c r="A297" s="266"/>
      <c r="B297" s="141"/>
      <c r="C297" s="5"/>
      <c r="D297" s="5"/>
      <c r="E297" s="136"/>
      <c r="F297" s="3"/>
      <c r="G297" s="3"/>
      <c r="H297" s="136"/>
      <c r="I297" s="3"/>
      <c r="J297" s="3"/>
      <c r="K297" s="28" t="s">
        <v>55</v>
      </c>
      <c r="L297" s="12" t="s">
        <v>121</v>
      </c>
      <c r="M297" s="12" t="s">
        <v>230</v>
      </c>
      <c r="N297" s="12" t="s">
        <v>108</v>
      </c>
      <c r="O297" s="7">
        <v>16707734.699999999</v>
      </c>
      <c r="P297" s="7">
        <v>16707734.699999999</v>
      </c>
      <c r="Q297" s="7">
        <v>0</v>
      </c>
      <c r="R297" s="7">
        <v>0</v>
      </c>
      <c r="S297" s="7">
        <v>0</v>
      </c>
      <c r="T297" s="87">
        <v>0</v>
      </c>
    </row>
    <row r="298" spans="1:20" x14ac:dyDescent="0.25">
      <c r="A298" s="266"/>
      <c r="B298" s="141"/>
      <c r="C298" s="5"/>
      <c r="D298" s="5"/>
      <c r="E298" s="136"/>
      <c r="F298" s="3"/>
      <c r="G298" s="3"/>
      <c r="H298" s="136"/>
      <c r="I298" s="3"/>
      <c r="J298" s="3"/>
      <c r="K298" s="28" t="s">
        <v>55</v>
      </c>
      <c r="L298" s="12" t="s">
        <v>121</v>
      </c>
      <c r="M298" s="12" t="s">
        <v>231</v>
      </c>
      <c r="N298" s="12" t="s">
        <v>106</v>
      </c>
      <c r="O298" s="7">
        <v>117792.71</v>
      </c>
      <c r="P298" s="7">
        <v>117792.71</v>
      </c>
      <c r="Q298" s="7">
        <v>0</v>
      </c>
      <c r="R298" s="7">
        <v>0</v>
      </c>
      <c r="S298" s="7">
        <v>0</v>
      </c>
      <c r="T298" s="87">
        <v>0</v>
      </c>
    </row>
    <row r="299" spans="1:20" x14ac:dyDescent="0.25">
      <c r="A299" s="266"/>
      <c r="B299" s="141"/>
      <c r="C299" s="5"/>
      <c r="D299" s="5"/>
      <c r="E299" s="136"/>
      <c r="F299" s="3"/>
      <c r="G299" s="3"/>
      <c r="H299" s="136"/>
      <c r="I299" s="3"/>
      <c r="J299" s="3"/>
      <c r="K299" s="28" t="s">
        <v>18</v>
      </c>
      <c r="L299" s="12" t="s">
        <v>54</v>
      </c>
      <c r="M299" s="12" t="s">
        <v>226</v>
      </c>
      <c r="N299" s="12" t="s">
        <v>106</v>
      </c>
      <c r="O299" s="7">
        <v>128565.37</v>
      </c>
      <c r="P299" s="7">
        <v>128565.37</v>
      </c>
      <c r="Q299" s="7">
        <v>102000</v>
      </c>
      <c r="R299" s="7">
        <v>150000</v>
      </c>
      <c r="S299" s="7">
        <v>110000</v>
      </c>
      <c r="T299" s="87">
        <v>110000</v>
      </c>
    </row>
    <row r="300" spans="1:20" x14ac:dyDescent="0.25">
      <c r="A300" s="266"/>
      <c r="B300" s="141"/>
      <c r="C300" s="5"/>
      <c r="D300" s="5"/>
      <c r="E300" s="136"/>
      <c r="F300" s="3"/>
      <c r="G300" s="3"/>
      <c r="H300" s="136"/>
      <c r="I300" s="3"/>
      <c r="J300" s="3"/>
      <c r="K300" s="28" t="s">
        <v>18</v>
      </c>
      <c r="L300" s="12" t="s">
        <v>54</v>
      </c>
      <c r="M300" s="12" t="s">
        <v>232</v>
      </c>
      <c r="N300" s="12" t="s">
        <v>106</v>
      </c>
      <c r="O300" s="7">
        <v>4745883</v>
      </c>
      <c r="P300" s="7">
        <v>4745883</v>
      </c>
      <c r="Q300" s="7">
        <v>5097000</v>
      </c>
      <c r="R300" s="7">
        <v>5222323.33</v>
      </c>
      <c r="S300" s="7">
        <v>5059000</v>
      </c>
      <c r="T300" s="87">
        <v>5059000</v>
      </c>
    </row>
    <row r="301" spans="1:20" x14ac:dyDescent="0.25">
      <c r="A301" s="266"/>
      <c r="B301" s="141"/>
      <c r="C301" s="5"/>
      <c r="D301" s="5"/>
      <c r="E301" s="136"/>
      <c r="F301" s="3"/>
      <c r="G301" s="3"/>
      <c r="H301" s="136"/>
      <c r="I301" s="3"/>
      <c r="J301" s="3"/>
      <c r="K301" s="28" t="s">
        <v>18</v>
      </c>
      <c r="L301" s="12" t="s">
        <v>54</v>
      </c>
      <c r="M301" s="12" t="s">
        <v>229</v>
      </c>
      <c r="N301" s="12" t="s">
        <v>106</v>
      </c>
      <c r="O301" s="7">
        <v>38434.629999999997</v>
      </c>
      <c r="P301" s="7">
        <v>38434.629999999997</v>
      </c>
      <c r="Q301" s="7">
        <v>0</v>
      </c>
      <c r="R301" s="7">
        <v>0</v>
      </c>
      <c r="S301" s="7">
        <v>0</v>
      </c>
      <c r="T301" s="87">
        <v>0</v>
      </c>
    </row>
    <row r="302" spans="1:20" x14ac:dyDescent="0.25">
      <c r="A302" s="266"/>
      <c r="B302" s="141"/>
      <c r="C302" s="5"/>
      <c r="D302" s="5"/>
      <c r="E302" s="136"/>
      <c r="F302" s="3"/>
      <c r="G302" s="3"/>
      <c r="H302" s="136"/>
      <c r="I302" s="3"/>
      <c r="J302" s="3"/>
      <c r="K302" s="28" t="s">
        <v>18</v>
      </c>
      <c r="L302" s="12" t="s">
        <v>80</v>
      </c>
      <c r="M302" s="12" t="s">
        <v>226</v>
      </c>
      <c r="N302" s="12" t="s">
        <v>106</v>
      </c>
      <c r="O302" s="7">
        <v>199542.32</v>
      </c>
      <c r="P302" s="7">
        <v>199542.32</v>
      </c>
      <c r="Q302" s="7">
        <v>193000</v>
      </c>
      <c r="R302" s="7">
        <v>230000</v>
      </c>
      <c r="S302" s="7">
        <v>193000</v>
      </c>
      <c r="T302" s="87">
        <v>193000</v>
      </c>
    </row>
    <row r="303" spans="1:20" x14ac:dyDescent="0.25">
      <c r="A303" s="266"/>
      <c r="B303" s="141"/>
      <c r="C303" s="5"/>
      <c r="D303" s="5"/>
      <c r="E303" s="136"/>
      <c r="F303" s="3"/>
      <c r="G303" s="3"/>
      <c r="H303" s="136"/>
      <c r="I303" s="3"/>
      <c r="J303" s="3"/>
      <c r="K303" s="28" t="s">
        <v>18</v>
      </c>
      <c r="L303" s="12" t="s">
        <v>80</v>
      </c>
      <c r="M303" s="12" t="s">
        <v>232</v>
      </c>
      <c r="N303" s="12" t="s">
        <v>106</v>
      </c>
      <c r="O303" s="7">
        <v>10283567.75</v>
      </c>
      <c r="P303" s="7">
        <v>10283567.75</v>
      </c>
      <c r="Q303" s="7">
        <v>9990167</v>
      </c>
      <c r="R303" s="7">
        <v>10356896.77</v>
      </c>
      <c r="S303" s="7">
        <v>10003872</v>
      </c>
      <c r="T303" s="87">
        <v>10003872</v>
      </c>
    </row>
    <row r="304" spans="1:20" x14ac:dyDescent="0.25">
      <c r="A304" s="266"/>
      <c r="B304" s="141"/>
      <c r="C304" s="5"/>
      <c r="D304" s="5"/>
      <c r="E304" s="136"/>
      <c r="F304" s="3"/>
      <c r="G304" s="3"/>
      <c r="H304" s="136"/>
      <c r="I304" s="3"/>
      <c r="J304" s="3"/>
      <c r="K304" s="28" t="s">
        <v>18</v>
      </c>
      <c r="L304" s="12" t="s">
        <v>80</v>
      </c>
      <c r="M304" s="12" t="s">
        <v>229</v>
      </c>
      <c r="N304" s="12" t="s">
        <v>106</v>
      </c>
      <c r="O304" s="7">
        <v>29122.48</v>
      </c>
      <c r="P304" s="7">
        <v>29122.48</v>
      </c>
      <c r="Q304" s="7">
        <v>0</v>
      </c>
      <c r="R304" s="7">
        <v>0</v>
      </c>
      <c r="S304" s="7">
        <v>0</v>
      </c>
      <c r="T304" s="87">
        <v>0</v>
      </c>
    </row>
    <row r="305" spans="1:20" s="30" customFormat="1" ht="41.25" x14ac:dyDescent="0.25">
      <c r="A305" s="286" t="s">
        <v>542</v>
      </c>
      <c r="B305" s="128" t="s">
        <v>372</v>
      </c>
      <c r="C305" s="129" t="s">
        <v>507</v>
      </c>
      <c r="D305" s="129" t="s">
        <v>374</v>
      </c>
      <c r="E305" s="154"/>
      <c r="F305" s="27"/>
      <c r="G305" s="27"/>
      <c r="H305" s="152" t="s">
        <v>207</v>
      </c>
      <c r="I305" s="99" t="s">
        <v>290</v>
      </c>
      <c r="J305" s="99" t="s">
        <v>301</v>
      </c>
      <c r="K305" s="191"/>
      <c r="L305" s="192"/>
      <c r="M305" s="192"/>
      <c r="N305" s="192"/>
      <c r="O305" s="195">
        <f t="shared" ref="O305:T305" si="26">SUM(O306:O307)</f>
        <v>82819670.099999994</v>
      </c>
      <c r="P305" s="195">
        <f t="shared" si="26"/>
        <v>82819670.099999994</v>
      </c>
      <c r="Q305" s="195">
        <f t="shared" si="26"/>
        <v>18808623.23</v>
      </c>
      <c r="R305" s="195">
        <f t="shared" si="26"/>
        <v>0</v>
      </c>
      <c r="S305" s="195">
        <f t="shared" si="26"/>
        <v>0</v>
      </c>
      <c r="T305" s="195">
        <f t="shared" si="26"/>
        <v>0</v>
      </c>
    </row>
    <row r="306" spans="1:20" s="30" customFormat="1" ht="33" x14ac:dyDescent="0.25">
      <c r="A306" s="286"/>
      <c r="B306" s="130" t="s">
        <v>508</v>
      </c>
      <c r="C306" s="131" t="s">
        <v>509</v>
      </c>
      <c r="D306" s="131" t="s">
        <v>510</v>
      </c>
      <c r="E306" s="154"/>
      <c r="F306" s="27"/>
      <c r="G306" s="27"/>
      <c r="H306" s="148"/>
      <c r="I306" s="26"/>
      <c r="J306" s="26"/>
      <c r="K306" s="54" t="s">
        <v>153</v>
      </c>
      <c r="L306" s="55" t="s">
        <v>80</v>
      </c>
      <c r="M306" s="55" t="s">
        <v>370</v>
      </c>
      <c r="N306" s="55" t="s">
        <v>62</v>
      </c>
      <c r="O306" s="193">
        <v>82586735.969999999</v>
      </c>
      <c r="P306" s="193">
        <v>82586735.969999999</v>
      </c>
      <c r="Q306" s="193">
        <v>18808623.23</v>
      </c>
      <c r="R306" s="196">
        <v>0</v>
      </c>
      <c r="S306" s="196">
        <v>0</v>
      </c>
      <c r="T306" s="196">
        <v>0</v>
      </c>
    </row>
    <row r="307" spans="1:20" s="30" customFormat="1" x14ac:dyDescent="0.25">
      <c r="A307" s="286"/>
      <c r="B307" s="168"/>
      <c r="C307" s="174"/>
      <c r="D307" s="174"/>
      <c r="E307" s="154"/>
      <c r="F307" s="27"/>
      <c r="G307" s="27"/>
      <c r="H307" s="148"/>
      <c r="I307" s="26"/>
      <c r="J307" s="26"/>
      <c r="K307" s="54" t="s">
        <v>153</v>
      </c>
      <c r="L307" s="55" t="s">
        <v>80</v>
      </c>
      <c r="M307" s="55" t="s">
        <v>370</v>
      </c>
      <c r="N307" s="55" t="s">
        <v>68</v>
      </c>
      <c r="O307" s="194">
        <v>232934.13</v>
      </c>
      <c r="P307" s="193">
        <v>232934.13</v>
      </c>
      <c r="Q307" s="194">
        <v>0</v>
      </c>
      <c r="R307" s="196">
        <v>0</v>
      </c>
      <c r="S307" s="196">
        <v>0</v>
      </c>
      <c r="T307" s="196">
        <v>0</v>
      </c>
    </row>
    <row r="308" spans="1:20" ht="90.75" x14ac:dyDescent="0.25">
      <c r="A308" s="216" t="s">
        <v>32</v>
      </c>
      <c r="B308" s="141" t="s">
        <v>48</v>
      </c>
      <c r="C308" s="185" t="s">
        <v>511</v>
      </c>
      <c r="D308" s="5" t="s">
        <v>50</v>
      </c>
      <c r="E308" s="15" t="s">
        <v>292</v>
      </c>
      <c r="F308" s="16"/>
      <c r="G308" s="17" t="s">
        <v>293</v>
      </c>
      <c r="H308" s="148" t="s">
        <v>243</v>
      </c>
      <c r="I308" s="26" t="s">
        <v>291</v>
      </c>
      <c r="J308" s="26" t="s">
        <v>300</v>
      </c>
      <c r="K308" s="78" t="s">
        <v>54</v>
      </c>
      <c r="L308" s="79" t="s">
        <v>76</v>
      </c>
      <c r="M308" s="79" t="s">
        <v>705</v>
      </c>
      <c r="N308" s="79" t="s">
        <v>62</v>
      </c>
      <c r="O308" s="104">
        <v>0</v>
      </c>
      <c r="P308" s="104">
        <v>0</v>
      </c>
      <c r="Q308" s="104">
        <v>0</v>
      </c>
      <c r="R308" s="104">
        <v>1312500</v>
      </c>
      <c r="S308" s="104">
        <v>0</v>
      </c>
      <c r="T308" s="186">
        <v>0</v>
      </c>
    </row>
    <row r="309" spans="1:20" ht="49.5" x14ac:dyDescent="0.25">
      <c r="A309" s="266" t="s">
        <v>512</v>
      </c>
      <c r="B309" s="128" t="s">
        <v>372</v>
      </c>
      <c r="C309" s="129" t="s">
        <v>513</v>
      </c>
      <c r="D309" s="129" t="s">
        <v>374</v>
      </c>
      <c r="E309" s="166" t="s">
        <v>516</v>
      </c>
      <c r="F309" s="126" t="s">
        <v>380</v>
      </c>
      <c r="G309" s="126" t="s">
        <v>517</v>
      </c>
      <c r="H309" s="152" t="s">
        <v>207</v>
      </c>
      <c r="I309" s="99" t="s">
        <v>294</v>
      </c>
      <c r="J309" s="99" t="s">
        <v>301</v>
      </c>
      <c r="K309" s="28"/>
      <c r="L309" s="12"/>
      <c r="M309" s="12"/>
      <c r="N309" s="12"/>
      <c r="O309" s="107">
        <f t="shared" ref="O309:T309" si="27">SUM(O310:O313)</f>
        <v>6262605</v>
      </c>
      <c r="P309" s="107">
        <f t="shared" si="27"/>
        <v>6233670.5</v>
      </c>
      <c r="Q309" s="107">
        <f t="shared" si="27"/>
        <v>6119890</v>
      </c>
      <c r="R309" s="107">
        <f t="shared" si="27"/>
        <v>8722500</v>
      </c>
      <c r="S309" s="107">
        <f t="shared" si="27"/>
        <v>8722500</v>
      </c>
      <c r="T309" s="107">
        <f t="shared" si="27"/>
        <v>8722500</v>
      </c>
    </row>
    <row r="310" spans="1:20" ht="57.75" x14ac:dyDescent="0.25">
      <c r="A310" s="266"/>
      <c r="B310" s="130" t="s">
        <v>514</v>
      </c>
      <c r="C310" s="131" t="s">
        <v>380</v>
      </c>
      <c r="D310" s="131" t="s">
        <v>515</v>
      </c>
      <c r="E310" s="142"/>
      <c r="F310" s="22"/>
      <c r="G310" s="22"/>
      <c r="H310" s="136"/>
      <c r="I310" s="3"/>
      <c r="J310" s="3"/>
      <c r="K310" s="51" t="s">
        <v>153</v>
      </c>
      <c r="L310" s="52" t="s">
        <v>80</v>
      </c>
      <c r="M310" s="38" t="s">
        <v>191</v>
      </c>
      <c r="N310" s="52" t="s">
        <v>107</v>
      </c>
      <c r="O310" s="93">
        <v>286000</v>
      </c>
      <c r="P310" s="93">
        <v>269862.69</v>
      </c>
      <c r="Q310" s="93">
        <v>200000</v>
      </c>
      <c r="R310" s="93">
        <v>200000</v>
      </c>
      <c r="S310" s="93">
        <v>200000</v>
      </c>
      <c r="T310" s="93">
        <v>200000</v>
      </c>
    </row>
    <row r="311" spans="1:20" x14ac:dyDescent="0.25">
      <c r="A311" s="266"/>
      <c r="B311" s="141"/>
      <c r="C311" s="5"/>
      <c r="D311" s="5"/>
      <c r="E311" s="142"/>
      <c r="F311" s="22"/>
      <c r="G311" s="22"/>
      <c r="H311" s="136"/>
      <c r="I311" s="3"/>
      <c r="J311" s="3"/>
      <c r="K311" s="51" t="s">
        <v>153</v>
      </c>
      <c r="L311" s="52" t="s">
        <v>80</v>
      </c>
      <c r="M311" s="38" t="s">
        <v>192</v>
      </c>
      <c r="N311" s="52" t="s">
        <v>62</v>
      </c>
      <c r="O311" s="93">
        <v>32500</v>
      </c>
      <c r="P311" s="93">
        <v>30633.16</v>
      </c>
      <c r="Q311" s="93">
        <v>22500</v>
      </c>
      <c r="R311" s="93">
        <v>22500</v>
      </c>
      <c r="S311" s="93">
        <v>22500</v>
      </c>
      <c r="T311" s="93">
        <v>22500</v>
      </c>
    </row>
    <row r="312" spans="1:20" x14ac:dyDescent="0.25">
      <c r="A312" s="266"/>
      <c r="B312" s="141"/>
      <c r="C312" s="5"/>
      <c r="D312" s="5"/>
      <c r="E312" s="142"/>
      <c r="F312" s="22"/>
      <c r="G312" s="22"/>
      <c r="H312" s="136"/>
      <c r="I312" s="3"/>
      <c r="J312" s="3"/>
      <c r="K312" s="51" t="s">
        <v>153</v>
      </c>
      <c r="L312" s="52" t="s">
        <v>80</v>
      </c>
      <c r="M312" s="38" t="s">
        <v>193</v>
      </c>
      <c r="N312" s="52" t="s">
        <v>62</v>
      </c>
      <c r="O312" s="93">
        <v>2504000</v>
      </c>
      <c r="P312" s="93">
        <v>2493071.59</v>
      </c>
      <c r="Q312" s="93">
        <v>2397390</v>
      </c>
      <c r="R312" s="93">
        <v>5000000</v>
      </c>
      <c r="S312" s="93">
        <v>5000000</v>
      </c>
      <c r="T312" s="93">
        <v>5000000</v>
      </c>
    </row>
    <row r="313" spans="1:20" x14ac:dyDescent="0.25">
      <c r="A313" s="266"/>
      <c r="B313" s="141"/>
      <c r="C313" s="5"/>
      <c r="D313" s="5"/>
      <c r="E313" s="142"/>
      <c r="F313" s="22"/>
      <c r="G313" s="22"/>
      <c r="H313" s="136"/>
      <c r="I313" s="3"/>
      <c r="J313" s="3"/>
      <c r="K313" s="51" t="s">
        <v>153</v>
      </c>
      <c r="L313" s="52" t="s">
        <v>80</v>
      </c>
      <c r="M313" s="38" t="s">
        <v>194</v>
      </c>
      <c r="N313" s="52" t="s">
        <v>62</v>
      </c>
      <c r="O313" s="93">
        <v>3440105</v>
      </c>
      <c r="P313" s="93">
        <v>3440103.06</v>
      </c>
      <c r="Q313" s="93">
        <v>3500000</v>
      </c>
      <c r="R313" s="93">
        <v>3500000</v>
      </c>
      <c r="S313" s="93">
        <v>3500000</v>
      </c>
      <c r="T313" s="93">
        <v>3500000</v>
      </c>
    </row>
    <row r="314" spans="1:20" s="72" customFormat="1" ht="14.25" x14ac:dyDescent="0.2">
      <c r="A314" s="268" t="s">
        <v>33</v>
      </c>
      <c r="B314" s="268"/>
      <c r="C314" s="268"/>
      <c r="D314" s="268"/>
      <c r="E314" s="268"/>
      <c r="F314" s="268"/>
      <c r="G314" s="268"/>
      <c r="H314" s="268"/>
      <c r="I314" s="268"/>
      <c r="J314" s="268"/>
      <c r="K314" s="268"/>
      <c r="L314" s="268"/>
      <c r="M314" s="268"/>
      <c r="N314" s="268"/>
      <c r="O314" s="75">
        <f t="shared" ref="O314:T314" si="28">O315+O320</f>
        <v>6084361</v>
      </c>
      <c r="P314" s="75">
        <f t="shared" si="28"/>
        <v>6022725.6500000004</v>
      </c>
      <c r="Q314" s="75">
        <f t="shared" si="28"/>
        <v>2897850</v>
      </c>
      <c r="R314" s="75">
        <f t="shared" si="28"/>
        <v>1995440</v>
      </c>
      <c r="S314" s="75">
        <f t="shared" si="28"/>
        <v>2077440</v>
      </c>
      <c r="T314" s="75">
        <f t="shared" si="28"/>
        <v>2077440</v>
      </c>
    </row>
    <row r="315" spans="1:20" s="76" customFormat="1" x14ac:dyDescent="0.25">
      <c r="A315" s="285" t="s">
        <v>34</v>
      </c>
      <c r="B315" s="285"/>
      <c r="C315" s="285"/>
      <c r="D315" s="285"/>
      <c r="E315" s="285"/>
      <c r="F315" s="285"/>
      <c r="G315" s="285"/>
      <c r="H315" s="285"/>
      <c r="I315" s="285"/>
      <c r="J315" s="285"/>
      <c r="K315" s="285"/>
      <c r="L315" s="285"/>
      <c r="M315" s="285"/>
      <c r="N315" s="285"/>
      <c r="O315" s="29">
        <f t="shared" ref="O315:T315" si="29">O316+O318</f>
        <v>3401436</v>
      </c>
      <c r="P315" s="29">
        <f t="shared" si="29"/>
        <v>3348639.39</v>
      </c>
      <c r="Q315" s="29">
        <f t="shared" si="29"/>
        <v>675410</v>
      </c>
      <c r="R315" s="29">
        <f t="shared" si="29"/>
        <v>0</v>
      </c>
      <c r="S315" s="29">
        <f t="shared" si="29"/>
        <v>0</v>
      </c>
      <c r="T315" s="29">
        <f t="shared" si="29"/>
        <v>0</v>
      </c>
    </row>
    <row r="316" spans="1:20" s="30" customFormat="1" ht="49.5" x14ac:dyDescent="0.25">
      <c r="A316" s="287" t="s">
        <v>518</v>
      </c>
      <c r="B316" s="128" t="s">
        <v>372</v>
      </c>
      <c r="C316" s="129" t="s">
        <v>519</v>
      </c>
      <c r="D316" s="129" t="s">
        <v>374</v>
      </c>
      <c r="E316" s="166" t="s">
        <v>523</v>
      </c>
      <c r="F316" s="126" t="s">
        <v>524</v>
      </c>
      <c r="G316" s="126" t="s">
        <v>421</v>
      </c>
      <c r="H316" s="136" t="s">
        <v>110</v>
      </c>
      <c r="I316" s="3" t="s">
        <v>254</v>
      </c>
      <c r="J316" s="25" t="s">
        <v>249</v>
      </c>
      <c r="K316" s="100"/>
      <c r="L316" s="101"/>
      <c r="M316" s="101"/>
      <c r="N316" s="101"/>
      <c r="O316" s="108">
        <f t="shared" ref="O316:T316" si="30">SUM(O317:O317)</f>
        <v>100000</v>
      </c>
      <c r="P316" s="108">
        <f t="shared" si="30"/>
        <v>100000</v>
      </c>
      <c r="Q316" s="108">
        <f t="shared" si="30"/>
        <v>0</v>
      </c>
      <c r="R316" s="108">
        <f t="shared" si="30"/>
        <v>0</v>
      </c>
      <c r="S316" s="108">
        <f t="shared" si="30"/>
        <v>0</v>
      </c>
      <c r="T316" s="108">
        <f t="shared" si="30"/>
        <v>0</v>
      </c>
    </row>
    <row r="317" spans="1:20" s="30" customFormat="1" ht="41.25" x14ac:dyDescent="0.25">
      <c r="A317" s="288"/>
      <c r="B317" s="130" t="s">
        <v>520</v>
      </c>
      <c r="C317" s="131" t="s">
        <v>521</v>
      </c>
      <c r="D317" s="131" t="s">
        <v>522</v>
      </c>
      <c r="E317" s="153"/>
      <c r="F317" s="27"/>
      <c r="G317" s="27"/>
      <c r="H317" s="144"/>
      <c r="I317" s="3"/>
      <c r="J317" s="3"/>
      <c r="K317" s="28" t="s">
        <v>121</v>
      </c>
      <c r="L317" s="12" t="s">
        <v>122</v>
      </c>
      <c r="M317" s="12" t="s">
        <v>242</v>
      </c>
      <c r="N317" s="12" t="s">
        <v>106</v>
      </c>
      <c r="O317" s="7">
        <v>100000</v>
      </c>
      <c r="P317" s="7">
        <v>100000</v>
      </c>
      <c r="Q317" s="7"/>
      <c r="R317" s="7"/>
      <c r="S317" s="7"/>
      <c r="T317" s="7"/>
    </row>
    <row r="318" spans="1:20" ht="49.5" x14ac:dyDescent="0.25">
      <c r="A318" s="266" t="s">
        <v>35</v>
      </c>
      <c r="B318" s="128" t="s">
        <v>372</v>
      </c>
      <c r="C318" s="129" t="s">
        <v>525</v>
      </c>
      <c r="D318" s="129" t="s">
        <v>374</v>
      </c>
      <c r="E318" s="166" t="s">
        <v>528</v>
      </c>
      <c r="F318" s="126" t="s">
        <v>474</v>
      </c>
      <c r="G318" s="126" t="s">
        <v>529</v>
      </c>
      <c r="H318" s="148" t="s">
        <v>243</v>
      </c>
      <c r="I318" s="26" t="s">
        <v>295</v>
      </c>
      <c r="J318" s="3" t="s">
        <v>300</v>
      </c>
      <c r="K318" s="91"/>
      <c r="L318" s="52"/>
      <c r="M318" s="38"/>
      <c r="N318" s="52"/>
      <c r="O318" s="92">
        <f>O319</f>
        <v>3301436</v>
      </c>
      <c r="P318" s="92">
        <f t="shared" ref="P318:T318" si="31">P319</f>
        <v>3248639.39</v>
      </c>
      <c r="Q318" s="92">
        <f t="shared" si="31"/>
        <v>675410</v>
      </c>
      <c r="R318" s="92">
        <f t="shared" si="31"/>
        <v>0</v>
      </c>
      <c r="S318" s="92">
        <f t="shared" si="31"/>
        <v>0</v>
      </c>
      <c r="T318" s="92">
        <f t="shared" si="31"/>
        <v>0</v>
      </c>
    </row>
    <row r="319" spans="1:20" ht="41.25" x14ac:dyDescent="0.25">
      <c r="A319" s="266"/>
      <c r="B319" s="130" t="s">
        <v>526</v>
      </c>
      <c r="C319" s="131" t="s">
        <v>460</v>
      </c>
      <c r="D319" s="131" t="s">
        <v>527</v>
      </c>
      <c r="E319" s="141"/>
      <c r="F319" s="3"/>
      <c r="G319" s="3"/>
      <c r="H319" s="148" t="s">
        <v>353</v>
      </c>
      <c r="I319" s="26"/>
      <c r="J319" s="3" t="s">
        <v>354</v>
      </c>
      <c r="K319" s="91" t="s">
        <v>55</v>
      </c>
      <c r="L319" s="52" t="s">
        <v>153</v>
      </c>
      <c r="M319" s="38" t="s">
        <v>195</v>
      </c>
      <c r="N319" s="52" t="s">
        <v>62</v>
      </c>
      <c r="O319" s="93">
        <v>3301436</v>
      </c>
      <c r="P319" s="93">
        <v>3248639.39</v>
      </c>
      <c r="Q319" s="93">
        <v>675410</v>
      </c>
      <c r="R319" s="93">
        <v>0</v>
      </c>
      <c r="S319" s="93">
        <v>0</v>
      </c>
      <c r="T319" s="93">
        <v>0</v>
      </c>
    </row>
    <row r="320" spans="1:20" s="2" customFormat="1" ht="14.25" x14ac:dyDescent="0.2">
      <c r="A320" s="296" t="s">
        <v>36</v>
      </c>
      <c r="B320" s="296"/>
      <c r="C320" s="296"/>
      <c r="D320" s="296"/>
      <c r="E320" s="296"/>
      <c r="F320" s="296"/>
      <c r="G320" s="296"/>
      <c r="H320" s="296"/>
      <c r="I320" s="296"/>
      <c r="J320" s="296"/>
      <c r="K320" s="296"/>
      <c r="L320" s="296"/>
      <c r="M320" s="296"/>
      <c r="N320" s="296"/>
      <c r="O320" s="107">
        <f>O321</f>
        <v>2682925</v>
      </c>
      <c r="P320" s="107">
        <f t="shared" ref="P320:T320" si="32">P321</f>
        <v>2674086.2599999998</v>
      </c>
      <c r="Q320" s="107">
        <f t="shared" si="32"/>
        <v>2222440</v>
      </c>
      <c r="R320" s="107">
        <f t="shared" si="32"/>
        <v>1995440</v>
      </c>
      <c r="S320" s="107">
        <f t="shared" si="32"/>
        <v>2077440</v>
      </c>
      <c r="T320" s="107">
        <f t="shared" si="32"/>
        <v>2077440</v>
      </c>
    </row>
    <row r="321" spans="1:20" ht="41.25" x14ac:dyDescent="0.25">
      <c r="A321" s="266" t="s">
        <v>37</v>
      </c>
      <c r="B321" s="125" t="s">
        <v>372</v>
      </c>
      <c r="C321" s="126" t="s">
        <v>530</v>
      </c>
      <c r="D321" s="126" t="s">
        <v>374</v>
      </c>
      <c r="E321" s="136"/>
      <c r="F321" s="3"/>
      <c r="G321" s="3"/>
      <c r="H321" s="136" t="s">
        <v>128</v>
      </c>
      <c r="I321" s="3" t="s">
        <v>296</v>
      </c>
      <c r="J321" s="3" t="s">
        <v>250</v>
      </c>
      <c r="K321" s="28"/>
      <c r="L321" s="12"/>
      <c r="M321" s="12"/>
      <c r="N321" s="12"/>
      <c r="O321" s="107">
        <f t="shared" ref="O321:T321" si="33">SUM(O322:O334)</f>
        <v>2682925</v>
      </c>
      <c r="P321" s="107">
        <f t="shared" si="33"/>
        <v>2674086.2599999998</v>
      </c>
      <c r="Q321" s="107">
        <f t="shared" si="33"/>
        <v>2222440</v>
      </c>
      <c r="R321" s="107">
        <f t="shared" si="33"/>
        <v>1995440</v>
      </c>
      <c r="S321" s="107">
        <f t="shared" si="33"/>
        <v>2077440</v>
      </c>
      <c r="T321" s="107">
        <f t="shared" si="33"/>
        <v>2077440</v>
      </c>
    </row>
    <row r="322" spans="1:20" ht="74.25" x14ac:dyDescent="0.25">
      <c r="A322" s="266"/>
      <c r="B322" s="136"/>
      <c r="C322" s="3"/>
      <c r="D322" s="3"/>
      <c r="E322" s="136"/>
      <c r="F322" s="3"/>
      <c r="G322" s="3"/>
      <c r="H322" s="155" t="s">
        <v>325</v>
      </c>
      <c r="I322" s="77" t="s">
        <v>49</v>
      </c>
      <c r="J322" s="77" t="s">
        <v>326</v>
      </c>
      <c r="K322" s="28" t="s">
        <v>121</v>
      </c>
      <c r="L322" s="12" t="s">
        <v>88</v>
      </c>
      <c r="M322" s="116" t="s">
        <v>234</v>
      </c>
      <c r="N322" s="224" t="s">
        <v>107</v>
      </c>
      <c r="O322" s="117">
        <v>7500</v>
      </c>
      <c r="P322" s="117">
        <v>0</v>
      </c>
      <c r="Q322" s="7">
        <v>71000</v>
      </c>
      <c r="R322" s="7">
        <v>71000</v>
      </c>
      <c r="S322" s="7">
        <v>71000</v>
      </c>
      <c r="T322" s="87">
        <v>71000</v>
      </c>
    </row>
    <row r="323" spans="1:20" ht="41.25" x14ac:dyDescent="0.25">
      <c r="A323" s="266"/>
      <c r="B323" s="136"/>
      <c r="C323" s="3"/>
      <c r="D323" s="3"/>
      <c r="E323" s="136"/>
      <c r="F323" s="3"/>
      <c r="G323" s="3"/>
      <c r="H323" s="155" t="s">
        <v>327</v>
      </c>
      <c r="I323" s="77" t="s">
        <v>49</v>
      </c>
      <c r="J323" s="77" t="s">
        <v>328</v>
      </c>
      <c r="K323" s="28" t="s">
        <v>121</v>
      </c>
      <c r="L323" s="12" t="s">
        <v>88</v>
      </c>
      <c r="M323" s="116" t="s">
        <v>234</v>
      </c>
      <c r="N323" s="224" t="s">
        <v>106</v>
      </c>
      <c r="O323" s="117">
        <v>700000</v>
      </c>
      <c r="P323" s="117">
        <v>700000</v>
      </c>
      <c r="Q323" s="7">
        <v>300000</v>
      </c>
      <c r="R323" s="7">
        <v>0</v>
      </c>
      <c r="S323" s="7">
        <v>0</v>
      </c>
      <c r="T323" s="87">
        <v>0</v>
      </c>
    </row>
    <row r="324" spans="1:20" ht="74.25" x14ac:dyDescent="0.25">
      <c r="A324" s="266"/>
      <c r="B324" s="136"/>
      <c r="C324" s="3"/>
      <c r="D324" s="3"/>
      <c r="E324" s="136"/>
      <c r="F324" s="3"/>
      <c r="G324" s="3"/>
      <c r="H324" s="214" t="s">
        <v>329</v>
      </c>
      <c r="I324" s="77" t="s">
        <v>49</v>
      </c>
      <c r="J324" s="77" t="s">
        <v>328</v>
      </c>
      <c r="K324" s="28" t="s">
        <v>121</v>
      </c>
      <c r="L324" s="12" t="s">
        <v>88</v>
      </c>
      <c r="M324" s="116" t="s">
        <v>235</v>
      </c>
      <c r="N324" s="224" t="s">
        <v>107</v>
      </c>
      <c r="O324" s="117">
        <v>150000</v>
      </c>
      <c r="P324" s="117">
        <v>149990</v>
      </c>
      <c r="Q324" s="7">
        <v>140000</v>
      </c>
      <c r="R324" s="7">
        <v>140000</v>
      </c>
      <c r="S324" s="7">
        <v>140000</v>
      </c>
      <c r="T324" s="87">
        <v>140000</v>
      </c>
    </row>
    <row r="325" spans="1:20" ht="33" x14ac:dyDescent="0.25">
      <c r="A325" s="266"/>
      <c r="B325" s="136"/>
      <c r="C325" s="3"/>
      <c r="D325" s="3"/>
      <c r="E325" s="136"/>
      <c r="F325" s="3"/>
      <c r="G325" s="3"/>
      <c r="H325" s="155" t="s">
        <v>330</v>
      </c>
      <c r="I325" s="77" t="s">
        <v>49</v>
      </c>
      <c r="J325" s="77" t="s">
        <v>331</v>
      </c>
      <c r="K325" s="28" t="s">
        <v>121</v>
      </c>
      <c r="L325" s="12" t="s">
        <v>88</v>
      </c>
      <c r="M325" s="116" t="s">
        <v>236</v>
      </c>
      <c r="N325" s="224" t="s">
        <v>62</v>
      </c>
      <c r="O325" s="117">
        <v>25314.86</v>
      </c>
      <c r="P325" s="117">
        <v>25314.86</v>
      </c>
      <c r="Q325" s="7">
        <v>152000</v>
      </c>
      <c r="R325" s="7">
        <v>68000</v>
      </c>
      <c r="S325" s="7">
        <v>133000</v>
      </c>
      <c r="T325" s="87">
        <v>133000</v>
      </c>
    </row>
    <row r="326" spans="1:20" ht="41.25" x14ac:dyDescent="0.25">
      <c r="A326" s="266"/>
      <c r="B326" s="136"/>
      <c r="C326" s="3"/>
      <c r="D326" s="3"/>
      <c r="E326" s="136"/>
      <c r="F326" s="3"/>
      <c r="G326" s="3"/>
      <c r="H326" s="155" t="s">
        <v>332</v>
      </c>
      <c r="I326" s="77" t="s">
        <v>49</v>
      </c>
      <c r="J326" s="77" t="s">
        <v>333</v>
      </c>
      <c r="K326" s="28" t="s">
        <v>121</v>
      </c>
      <c r="L326" s="12" t="s">
        <v>88</v>
      </c>
      <c r="M326" s="116" t="s">
        <v>572</v>
      </c>
      <c r="N326" s="224" t="s">
        <v>107</v>
      </c>
      <c r="O326" s="117">
        <v>0</v>
      </c>
      <c r="P326" s="117">
        <v>0</v>
      </c>
      <c r="Q326" s="7">
        <v>409100</v>
      </c>
      <c r="R326" s="7">
        <v>409100</v>
      </c>
      <c r="S326" s="7">
        <v>389100</v>
      </c>
      <c r="T326" s="87">
        <v>389100</v>
      </c>
    </row>
    <row r="327" spans="1:20" x14ac:dyDescent="0.25">
      <c r="A327" s="266"/>
      <c r="B327" s="136"/>
      <c r="C327" s="3"/>
      <c r="D327" s="3"/>
      <c r="E327" s="136"/>
      <c r="F327" s="3"/>
      <c r="G327" s="3"/>
      <c r="H327" s="136"/>
      <c r="I327" s="3"/>
      <c r="J327" s="3"/>
      <c r="K327" s="28" t="s">
        <v>121</v>
      </c>
      <c r="L327" s="12" t="s">
        <v>88</v>
      </c>
      <c r="M327" s="116" t="s">
        <v>237</v>
      </c>
      <c r="N327" s="224" t="s">
        <v>107</v>
      </c>
      <c r="O327" s="117">
        <v>486440</v>
      </c>
      <c r="P327" s="117">
        <v>486440</v>
      </c>
      <c r="Q327" s="7">
        <v>80000</v>
      </c>
      <c r="R327" s="7">
        <v>80000</v>
      </c>
      <c r="S327" s="7">
        <v>100000</v>
      </c>
      <c r="T327" s="87">
        <v>100000</v>
      </c>
    </row>
    <row r="328" spans="1:20" x14ac:dyDescent="0.25">
      <c r="A328" s="266"/>
      <c r="B328" s="136"/>
      <c r="C328" s="3"/>
      <c r="D328" s="3"/>
      <c r="E328" s="136"/>
      <c r="F328" s="3"/>
      <c r="G328" s="3"/>
      <c r="H328" s="136"/>
      <c r="I328" s="3"/>
      <c r="J328" s="3"/>
      <c r="K328" s="28" t="s">
        <v>121</v>
      </c>
      <c r="L328" s="12" t="s">
        <v>88</v>
      </c>
      <c r="M328" s="116" t="s">
        <v>238</v>
      </c>
      <c r="N328" s="224" t="s">
        <v>62</v>
      </c>
      <c r="O328" s="117">
        <v>95610.14</v>
      </c>
      <c r="P328" s="117">
        <v>95610.14</v>
      </c>
      <c r="Q328" s="7">
        <v>34600</v>
      </c>
      <c r="R328" s="7">
        <v>34600</v>
      </c>
      <c r="S328" s="7">
        <v>34600</v>
      </c>
      <c r="T328" s="87">
        <v>34600</v>
      </c>
    </row>
    <row r="329" spans="1:20" x14ac:dyDescent="0.25">
      <c r="A329" s="266"/>
      <c r="B329" s="136"/>
      <c r="C329" s="3"/>
      <c r="D329" s="3"/>
      <c r="E329" s="136"/>
      <c r="F329" s="3"/>
      <c r="G329" s="3"/>
      <c r="H329" s="136"/>
      <c r="I329" s="3"/>
      <c r="J329" s="3"/>
      <c r="K329" s="28" t="s">
        <v>121</v>
      </c>
      <c r="L329" s="12" t="s">
        <v>88</v>
      </c>
      <c r="M329" s="116" t="s">
        <v>239</v>
      </c>
      <c r="N329" s="224" t="s">
        <v>107</v>
      </c>
      <c r="O329" s="117">
        <v>174880</v>
      </c>
      <c r="P329" s="117">
        <v>174800</v>
      </c>
      <c r="Q329" s="7">
        <v>200700</v>
      </c>
      <c r="R329" s="7">
        <v>200700</v>
      </c>
      <c r="S329" s="7">
        <v>200700</v>
      </c>
      <c r="T329" s="87">
        <v>200700</v>
      </c>
    </row>
    <row r="330" spans="1:20" x14ac:dyDescent="0.25">
      <c r="A330" s="266"/>
      <c r="B330" s="136"/>
      <c r="C330" s="3"/>
      <c r="D330" s="3"/>
      <c r="E330" s="136"/>
      <c r="F330" s="3"/>
      <c r="G330" s="3"/>
      <c r="H330" s="136"/>
      <c r="I330" s="3"/>
      <c r="J330" s="3"/>
      <c r="K330" s="28" t="s">
        <v>121</v>
      </c>
      <c r="L330" s="12" t="s">
        <v>88</v>
      </c>
      <c r="M330" s="116" t="s">
        <v>240</v>
      </c>
      <c r="N330" s="224" t="s">
        <v>107</v>
      </c>
      <c r="O330" s="117">
        <v>216400</v>
      </c>
      <c r="P330" s="117">
        <v>216400</v>
      </c>
      <c r="Q330" s="7">
        <v>238040</v>
      </c>
      <c r="R330" s="7">
        <v>238040</v>
      </c>
      <c r="S330" s="7">
        <v>238040</v>
      </c>
      <c r="T330" s="87">
        <v>238040</v>
      </c>
    </row>
    <row r="331" spans="1:20" x14ac:dyDescent="0.25">
      <c r="A331" s="266"/>
      <c r="B331" s="136"/>
      <c r="C331" s="3"/>
      <c r="D331" s="3"/>
      <c r="E331" s="136"/>
      <c r="F331" s="3"/>
      <c r="G331" s="3"/>
      <c r="H331" s="136"/>
      <c r="I331" s="3"/>
      <c r="J331" s="3"/>
      <c r="K331" s="28" t="s">
        <v>121</v>
      </c>
      <c r="L331" s="12" t="s">
        <v>88</v>
      </c>
      <c r="M331" s="116" t="s">
        <v>241</v>
      </c>
      <c r="N331" s="224" t="s">
        <v>107</v>
      </c>
      <c r="O331" s="117">
        <v>442780</v>
      </c>
      <c r="P331" s="117">
        <v>441531.26</v>
      </c>
      <c r="Q331" s="7">
        <v>561600</v>
      </c>
      <c r="R331" s="7">
        <v>561600</v>
      </c>
      <c r="S331" s="7">
        <v>561600</v>
      </c>
      <c r="T331" s="87">
        <v>561600</v>
      </c>
    </row>
    <row r="332" spans="1:20" x14ac:dyDescent="0.25">
      <c r="A332" s="266"/>
      <c r="B332" s="136"/>
      <c r="C332" s="3"/>
      <c r="D332" s="3"/>
      <c r="E332" s="136"/>
      <c r="F332" s="3"/>
      <c r="G332" s="3"/>
      <c r="H332" s="136"/>
      <c r="I332" s="3"/>
      <c r="J332" s="3"/>
      <c r="K332" s="28" t="s">
        <v>121</v>
      </c>
      <c r="L332" s="12" t="s">
        <v>88</v>
      </c>
      <c r="M332" s="116" t="s">
        <v>573</v>
      </c>
      <c r="N332" s="224" t="s">
        <v>107</v>
      </c>
      <c r="O332" s="117">
        <v>0</v>
      </c>
      <c r="P332" s="117">
        <v>0</v>
      </c>
      <c r="Q332" s="7">
        <v>35400</v>
      </c>
      <c r="R332" s="7">
        <v>35400</v>
      </c>
      <c r="S332" s="7">
        <v>35400</v>
      </c>
      <c r="T332" s="87">
        <v>35400</v>
      </c>
    </row>
    <row r="333" spans="1:20" x14ac:dyDescent="0.25">
      <c r="A333" s="266"/>
      <c r="B333" s="136"/>
      <c r="C333" s="3"/>
      <c r="D333" s="3"/>
      <c r="E333" s="136"/>
      <c r="F333" s="3"/>
      <c r="G333" s="3"/>
      <c r="H333" s="136"/>
      <c r="I333" s="3"/>
      <c r="J333" s="3"/>
      <c r="K333" s="28" t="s">
        <v>54</v>
      </c>
      <c r="L333" s="12" t="s">
        <v>60</v>
      </c>
      <c r="M333" s="116" t="s">
        <v>569</v>
      </c>
      <c r="N333" s="224" t="s">
        <v>106</v>
      </c>
      <c r="O333" s="117">
        <v>0</v>
      </c>
      <c r="P333" s="117">
        <v>0</v>
      </c>
      <c r="Q333" s="7">
        <v>0</v>
      </c>
      <c r="R333" s="7">
        <v>157000</v>
      </c>
      <c r="S333" s="7">
        <v>174000</v>
      </c>
      <c r="T333" s="87">
        <v>174000</v>
      </c>
    </row>
    <row r="334" spans="1:20" x14ac:dyDescent="0.25">
      <c r="A334" s="266"/>
      <c r="B334" s="136"/>
      <c r="C334" s="3"/>
      <c r="D334" s="3"/>
      <c r="E334" s="136"/>
      <c r="F334" s="3"/>
      <c r="G334" s="3"/>
      <c r="H334" s="136"/>
      <c r="I334" s="3"/>
      <c r="J334" s="3"/>
      <c r="K334" s="28" t="s">
        <v>121</v>
      </c>
      <c r="L334" s="12" t="s">
        <v>122</v>
      </c>
      <c r="M334" s="12" t="s">
        <v>102</v>
      </c>
      <c r="N334" s="12" t="s">
        <v>106</v>
      </c>
      <c r="O334" s="102">
        <v>384000</v>
      </c>
      <c r="P334" s="102">
        <v>384000</v>
      </c>
      <c r="Q334" s="102">
        <v>0</v>
      </c>
      <c r="R334" s="102">
        <v>0</v>
      </c>
      <c r="S334" s="102">
        <v>0</v>
      </c>
      <c r="T334" s="103">
        <v>0</v>
      </c>
    </row>
    <row r="335" spans="1:20" s="2" customFormat="1" ht="14.25" x14ac:dyDescent="0.2">
      <c r="A335" s="268" t="s">
        <v>38</v>
      </c>
      <c r="B335" s="268"/>
      <c r="C335" s="268"/>
      <c r="D335" s="268"/>
      <c r="E335" s="268"/>
      <c r="F335" s="268"/>
      <c r="G335" s="268"/>
      <c r="H335" s="268"/>
      <c r="I335" s="268"/>
      <c r="J335" s="268"/>
      <c r="K335" s="268"/>
      <c r="L335" s="268"/>
      <c r="M335" s="268"/>
      <c r="N335" s="268"/>
      <c r="O335" s="74">
        <f t="shared" ref="O335:T335" si="34">O336+O377</f>
        <v>835913012.35000002</v>
      </c>
      <c r="P335" s="74">
        <f t="shared" si="34"/>
        <v>819485903.02999985</v>
      </c>
      <c r="Q335" s="74">
        <f t="shared" si="34"/>
        <v>872526972.5</v>
      </c>
      <c r="R335" s="74">
        <f t="shared" si="34"/>
        <v>916934041.88</v>
      </c>
      <c r="S335" s="74">
        <f t="shared" si="34"/>
        <v>951856957.88</v>
      </c>
      <c r="T335" s="74">
        <f t="shared" si="34"/>
        <v>992185817.27999997</v>
      </c>
    </row>
    <row r="336" spans="1:20" s="234" customFormat="1" ht="14.25" x14ac:dyDescent="0.2">
      <c r="A336" s="289" t="s">
        <v>535</v>
      </c>
      <c r="B336" s="290"/>
      <c r="C336" s="290"/>
      <c r="D336" s="290"/>
      <c r="E336" s="290"/>
      <c r="F336" s="290"/>
      <c r="G336" s="290"/>
      <c r="H336" s="290"/>
      <c r="I336" s="290"/>
      <c r="J336" s="290"/>
      <c r="K336" s="290"/>
      <c r="L336" s="290"/>
      <c r="M336" s="290"/>
      <c r="N336" s="291"/>
      <c r="O336" s="233">
        <f>O337+O340+O342+O348+O360+O366+O372+O375+O345</f>
        <v>835504512.35000002</v>
      </c>
      <c r="P336" s="233">
        <f>P337+P340+P342+P348+P360+P366+P372+P375+P345</f>
        <v>819077403.02999985</v>
      </c>
      <c r="Q336" s="233">
        <f>Q337+Q340+Q342+Q348+Q360+Q366+Q372+Q375+Q345</f>
        <v>872526972.5</v>
      </c>
      <c r="R336" s="233">
        <f>R337+R340+R342+R348+R360+R366+R372+R375+R345</f>
        <v>916934041.88</v>
      </c>
      <c r="S336" s="233">
        <f t="shared" ref="S336:T336" si="35">S337+S340+S342+S348+S360+S366+S372+S375+S345</f>
        <v>951856957.88</v>
      </c>
      <c r="T336" s="233">
        <f t="shared" si="35"/>
        <v>992185817.27999997</v>
      </c>
    </row>
    <row r="337" spans="1:20" s="200" customFormat="1" ht="66" x14ac:dyDescent="0.25">
      <c r="A337" s="298" t="s">
        <v>611</v>
      </c>
      <c r="B337" s="134" t="s">
        <v>372</v>
      </c>
      <c r="C337" s="129" t="s">
        <v>632</v>
      </c>
      <c r="D337" s="129" t="s">
        <v>374</v>
      </c>
      <c r="E337" s="135" t="s">
        <v>532</v>
      </c>
      <c r="F337" s="129" t="s">
        <v>639</v>
      </c>
      <c r="G337" s="129" t="s">
        <v>534</v>
      </c>
      <c r="H337" s="136" t="s">
        <v>53</v>
      </c>
      <c r="I337" s="3"/>
      <c r="J337" s="3" t="s">
        <v>313</v>
      </c>
      <c r="K337" s="211"/>
      <c r="L337" s="211"/>
      <c r="M337" s="211"/>
      <c r="N337" s="227"/>
      <c r="O337" s="230">
        <f>SUM(O338:O339)</f>
        <v>2155200</v>
      </c>
      <c r="P337" s="230">
        <f t="shared" ref="P337:T337" si="36">SUM(P338:P339)</f>
        <v>2153994.15</v>
      </c>
      <c r="Q337" s="230">
        <f t="shared" si="36"/>
        <v>3603100</v>
      </c>
      <c r="R337" s="230">
        <f t="shared" si="36"/>
        <v>2443190</v>
      </c>
      <c r="S337" s="230">
        <f t="shared" si="36"/>
        <v>2545905</v>
      </c>
      <c r="T337" s="230">
        <f t="shared" si="36"/>
        <v>2117609</v>
      </c>
    </row>
    <row r="338" spans="1:20" s="200" customFormat="1" ht="33" x14ac:dyDescent="0.25">
      <c r="A338" s="299"/>
      <c r="B338" s="137" t="s">
        <v>636</v>
      </c>
      <c r="C338" s="131" t="s">
        <v>637</v>
      </c>
      <c r="D338" s="131" t="s">
        <v>638</v>
      </c>
      <c r="E338" s="212"/>
      <c r="F338" s="212"/>
      <c r="G338" s="212"/>
      <c r="H338" s="211"/>
      <c r="I338" s="211"/>
      <c r="J338" s="211"/>
      <c r="K338" s="222" t="s">
        <v>88</v>
      </c>
      <c r="L338" s="222" t="s">
        <v>55</v>
      </c>
      <c r="M338" s="222" t="s">
        <v>679</v>
      </c>
      <c r="N338" s="227">
        <v>100</v>
      </c>
      <c r="O338" s="40">
        <v>2155200</v>
      </c>
      <c r="P338" s="40">
        <v>2153994.15</v>
      </c>
      <c r="Q338" s="40">
        <v>3403100</v>
      </c>
      <c r="R338" s="40">
        <v>2443190</v>
      </c>
      <c r="S338" s="40">
        <v>2545905</v>
      </c>
      <c r="T338" s="40">
        <v>2117609</v>
      </c>
    </row>
    <row r="339" spans="1:20" s="200" customFormat="1" x14ac:dyDescent="0.25">
      <c r="A339" s="300"/>
      <c r="B339" s="137"/>
      <c r="C339" s="131"/>
      <c r="D339" s="131"/>
      <c r="E339" s="212"/>
      <c r="F339" s="212"/>
      <c r="G339" s="212"/>
      <c r="H339" s="211"/>
      <c r="I339" s="211"/>
      <c r="J339" s="211"/>
      <c r="K339" s="222" t="s">
        <v>88</v>
      </c>
      <c r="L339" s="222" t="s">
        <v>55</v>
      </c>
      <c r="M339" s="222" t="s">
        <v>679</v>
      </c>
      <c r="N339" s="227">
        <v>200</v>
      </c>
      <c r="O339" s="40">
        <v>0</v>
      </c>
      <c r="P339" s="40">
        <v>0</v>
      </c>
      <c r="Q339" s="40">
        <v>200000</v>
      </c>
      <c r="R339" s="40">
        <v>0</v>
      </c>
      <c r="S339" s="40">
        <v>0</v>
      </c>
      <c r="T339" s="40">
        <v>0</v>
      </c>
    </row>
    <row r="340" spans="1:20" s="200" customFormat="1" ht="115.5" x14ac:dyDescent="0.25">
      <c r="A340" s="298" t="s">
        <v>612</v>
      </c>
      <c r="B340" s="134" t="s">
        <v>372</v>
      </c>
      <c r="C340" s="129" t="s">
        <v>632</v>
      </c>
      <c r="D340" s="129" t="s">
        <v>374</v>
      </c>
      <c r="E340" s="182" t="s">
        <v>640</v>
      </c>
      <c r="F340" s="129" t="s">
        <v>639</v>
      </c>
      <c r="G340" s="129" t="s">
        <v>641</v>
      </c>
      <c r="H340" s="211"/>
      <c r="I340" s="211"/>
      <c r="J340" s="211"/>
      <c r="K340" s="222"/>
      <c r="L340" s="222"/>
      <c r="M340" s="222"/>
      <c r="N340" s="227"/>
      <c r="O340" s="230">
        <f>O341</f>
        <v>119370</v>
      </c>
      <c r="P340" s="230">
        <f t="shared" ref="P340:T340" si="37">P341</f>
        <v>33000</v>
      </c>
      <c r="Q340" s="230">
        <f t="shared" si="37"/>
        <v>0</v>
      </c>
      <c r="R340" s="230">
        <f t="shared" si="37"/>
        <v>0</v>
      </c>
      <c r="S340" s="230">
        <f t="shared" si="37"/>
        <v>0</v>
      </c>
      <c r="T340" s="230">
        <f t="shared" si="37"/>
        <v>0</v>
      </c>
    </row>
    <row r="341" spans="1:20" s="200" customFormat="1" ht="74.25" x14ac:dyDescent="0.25">
      <c r="A341" s="300"/>
      <c r="B341" s="137" t="s">
        <v>633</v>
      </c>
      <c r="C341" s="131" t="s">
        <v>634</v>
      </c>
      <c r="D341" s="131" t="s">
        <v>635</v>
      </c>
      <c r="E341" s="135" t="s">
        <v>642</v>
      </c>
      <c r="F341" s="129" t="s">
        <v>380</v>
      </c>
      <c r="G341" s="129" t="s">
        <v>643</v>
      </c>
      <c r="H341" s="211"/>
      <c r="I341" s="211"/>
      <c r="J341" s="211"/>
      <c r="K341" s="222" t="s">
        <v>54</v>
      </c>
      <c r="L341" s="222" t="s">
        <v>153</v>
      </c>
      <c r="M341" s="222" t="s">
        <v>680</v>
      </c>
      <c r="N341" s="227">
        <v>200</v>
      </c>
      <c r="O341" s="40">
        <v>119370</v>
      </c>
      <c r="P341" s="40">
        <v>33000</v>
      </c>
      <c r="Q341" s="40">
        <v>0</v>
      </c>
      <c r="R341" s="40">
        <v>0</v>
      </c>
      <c r="S341" s="40">
        <v>0</v>
      </c>
      <c r="T341" s="40">
        <v>0</v>
      </c>
    </row>
    <row r="342" spans="1:20" s="200" customFormat="1" ht="173.25" x14ac:dyDescent="0.25">
      <c r="A342" s="217" t="s">
        <v>613</v>
      </c>
      <c r="B342" s="134" t="s">
        <v>372</v>
      </c>
      <c r="C342" s="129" t="s">
        <v>620</v>
      </c>
      <c r="D342" s="129" t="s">
        <v>374</v>
      </c>
      <c r="E342" s="135" t="s">
        <v>644</v>
      </c>
      <c r="F342" s="129" t="s">
        <v>645</v>
      </c>
      <c r="G342" s="129" t="s">
        <v>646</v>
      </c>
      <c r="H342" s="211"/>
      <c r="I342" s="211"/>
      <c r="J342" s="211"/>
      <c r="K342" s="222"/>
      <c r="L342" s="222"/>
      <c r="M342" s="222"/>
      <c r="N342" s="227"/>
      <c r="O342" s="230">
        <f>SUM(O343:O344)</f>
        <v>726297700</v>
      </c>
      <c r="P342" s="230">
        <f t="shared" ref="P342:T342" si="38">SUM(P343:P344)</f>
        <v>714139332.8499999</v>
      </c>
      <c r="Q342" s="230">
        <f t="shared" si="38"/>
        <v>762350000</v>
      </c>
      <c r="R342" s="230">
        <f t="shared" si="38"/>
        <v>802893600</v>
      </c>
      <c r="S342" s="230">
        <f t="shared" si="38"/>
        <v>837795800</v>
      </c>
      <c r="T342" s="230">
        <f t="shared" si="38"/>
        <v>874821700</v>
      </c>
    </row>
    <row r="343" spans="1:20" s="200" customFormat="1" ht="57.75" x14ac:dyDescent="0.25">
      <c r="A343" s="217"/>
      <c r="B343" s="137" t="s">
        <v>415</v>
      </c>
      <c r="C343" s="131" t="s">
        <v>416</v>
      </c>
      <c r="D343" s="131" t="s">
        <v>417</v>
      </c>
      <c r="E343" s="138" t="s">
        <v>647</v>
      </c>
      <c r="F343" s="131" t="s">
        <v>645</v>
      </c>
      <c r="G343" s="131" t="s">
        <v>648</v>
      </c>
      <c r="H343" s="211"/>
      <c r="I343" s="211"/>
      <c r="J343" s="211"/>
      <c r="K343" s="222" t="s">
        <v>76</v>
      </c>
      <c r="L343" s="222" t="s">
        <v>54</v>
      </c>
      <c r="M343" s="222" t="s">
        <v>682</v>
      </c>
      <c r="N343" s="227">
        <v>600</v>
      </c>
      <c r="O343" s="40">
        <v>325521300</v>
      </c>
      <c r="P343" s="40">
        <v>317428502.88999999</v>
      </c>
      <c r="Q343" s="40">
        <v>332140900</v>
      </c>
      <c r="R343" s="40">
        <v>376758100</v>
      </c>
      <c r="S343" s="40">
        <v>394679200</v>
      </c>
      <c r="T343" s="40">
        <v>413799000</v>
      </c>
    </row>
    <row r="344" spans="1:20" s="200" customFormat="1" ht="49.5" x14ac:dyDescent="0.25">
      <c r="A344" s="217"/>
      <c r="B344" s="138" t="s">
        <v>418</v>
      </c>
      <c r="C344" s="131" t="s">
        <v>380</v>
      </c>
      <c r="D344" s="131" t="s">
        <v>419</v>
      </c>
      <c r="E344" s="211"/>
      <c r="F344" s="211"/>
      <c r="G344" s="211"/>
      <c r="H344" s="211"/>
      <c r="I344" s="211"/>
      <c r="J344" s="211"/>
      <c r="K344" s="222" t="s">
        <v>76</v>
      </c>
      <c r="L344" s="222" t="s">
        <v>80</v>
      </c>
      <c r="M344" s="222" t="s">
        <v>681</v>
      </c>
      <c r="N344" s="227">
        <v>600</v>
      </c>
      <c r="O344" s="40">
        <v>400776400</v>
      </c>
      <c r="P344" s="40">
        <v>396710829.95999998</v>
      </c>
      <c r="Q344" s="40">
        <v>430209100</v>
      </c>
      <c r="R344" s="40">
        <v>426135500</v>
      </c>
      <c r="S344" s="40">
        <v>443116600</v>
      </c>
      <c r="T344" s="40">
        <v>461022700</v>
      </c>
    </row>
    <row r="345" spans="1:20" s="200" customFormat="1" ht="74.25" x14ac:dyDescent="0.25">
      <c r="A345" s="301" t="s">
        <v>614</v>
      </c>
      <c r="B345" s="134" t="s">
        <v>372</v>
      </c>
      <c r="C345" s="129" t="s">
        <v>620</v>
      </c>
      <c r="D345" s="129" t="s">
        <v>374</v>
      </c>
      <c r="E345" s="135" t="s">
        <v>650</v>
      </c>
      <c r="F345" s="129" t="s">
        <v>423</v>
      </c>
      <c r="G345" s="129" t="s">
        <v>421</v>
      </c>
      <c r="H345" s="211"/>
      <c r="I345" s="211"/>
      <c r="J345" s="211"/>
      <c r="K345" s="222"/>
      <c r="L345" s="222"/>
      <c r="M345" s="222"/>
      <c r="N345" s="227"/>
      <c r="O345" s="230">
        <f>SUM(O346:O347)</f>
        <v>14391500</v>
      </c>
      <c r="P345" s="230">
        <f t="shared" ref="P345:T345" si="39">SUM(P346:P347)</f>
        <v>14391493.41</v>
      </c>
      <c r="Q345" s="230">
        <f t="shared" si="39"/>
        <v>2343000</v>
      </c>
      <c r="R345" s="230">
        <f t="shared" si="39"/>
        <v>7392000</v>
      </c>
      <c r="S345" s="230">
        <f t="shared" si="39"/>
        <v>4224000</v>
      </c>
      <c r="T345" s="230">
        <f t="shared" si="39"/>
        <v>4224000</v>
      </c>
    </row>
    <row r="346" spans="1:20" s="200" customFormat="1" ht="49.5" x14ac:dyDescent="0.25">
      <c r="A346" s="302"/>
      <c r="B346" s="137" t="s">
        <v>629</v>
      </c>
      <c r="C346" s="131" t="s">
        <v>630</v>
      </c>
      <c r="D346" s="215" t="s">
        <v>631</v>
      </c>
      <c r="E346" s="211"/>
      <c r="F346" s="211"/>
      <c r="G346" s="211"/>
      <c r="H346" s="211"/>
      <c r="I346" s="211"/>
      <c r="J346" s="211"/>
      <c r="K346" s="222" t="s">
        <v>121</v>
      </c>
      <c r="L346" s="222" t="s">
        <v>55</v>
      </c>
      <c r="M346" s="222" t="s">
        <v>683</v>
      </c>
      <c r="N346" s="227">
        <v>400</v>
      </c>
      <c r="O346" s="40">
        <v>308000</v>
      </c>
      <c r="P346" s="40">
        <v>308000</v>
      </c>
      <c r="Q346" s="40">
        <v>0</v>
      </c>
      <c r="R346" s="40">
        <v>0</v>
      </c>
      <c r="S346" s="40">
        <v>0</v>
      </c>
      <c r="T346" s="40">
        <v>0</v>
      </c>
    </row>
    <row r="347" spans="1:20" s="200" customFormat="1" ht="57.75" x14ac:dyDescent="0.25">
      <c r="A347" s="303"/>
      <c r="B347" s="169" t="s">
        <v>649</v>
      </c>
      <c r="C347" s="127" t="s">
        <v>380</v>
      </c>
      <c r="D347" s="213" t="s">
        <v>427</v>
      </c>
      <c r="E347" s="211"/>
      <c r="F347" s="211"/>
      <c r="G347" s="211"/>
      <c r="H347" s="211"/>
      <c r="I347" s="211"/>
      <c r="J347" s="211"/>
      <c r="K347" s="222" t="s">
        <v>121</v>
      </c>
      <c r="L347" s="222" t="s">
        <v>55</v>
      </c>
      <c r="M347" s="222" t="s">
        <v>684</v>
      </c>
      <c r="N347" s="227">
        <v>400</v>
      </c>
      <c r="O347" s="40">
        <v>14083500</v>
      </c>
      <c r="P347" s="40">
        <v>14083493.41</v>
      </c>
      <c r="Q347" s="40">
        <v>2343000</v>
      </c>
      <c r="R347" s="40">
        <v>7392000</v>
      </c>
      <c r="S347" s="40">
        <v>4224000</v>
      </c>
      <c r="T347" s="40">
        <v>4224000</v>
      </c>
    </row>
    <row r="348" spans="1:20" s="200" customFormat="1" ht="57.75" customHeight="1" x14ac:dyDescent="0.25">
      <c r="A348" s="298" t="s">
        <v>615</v>
      </c>
      <c r="B348" s="134" t="s">
        <v>372</v>
      </c>
      <c r="C348" s="129" t="s">
        <v>620</v>
      </c>
      <c r="D348" s="129" t="s">
        <v>374</v>
      </c>
      <c r="E348" s="182" t="s">
        <v>420</v>
      </c>
      <c r="F348" s="163" t="s">
        <v>651</v>
      </c>
      <c r="G348" s="163" t="s">
        <v>421</v>
      </c>
      <c r="H348" s="211"/>
      <c r="I348" s="211"/>
      <c r="J348" s="211"/>
      <c r="K348" s="222"/>
      <c r="L348" s="222"/>
      <c r="M348" s="222"/>
      <c r="N348" s="227"/>
      <c r="O348" s="230">
        <f>SUM(O349:O359)</f>
        <v>56977485.25</v>
      </c>
      <c r="P348" s="230">
        <f t="shared" ref="P348:T348" si="40">SUM(P349:P359)</f>
        <v>54271054.140000001</v>
      </c>
      <c r="Q348" s="230">
        <f t="shared" si="40"/>
        <v>60807207.5</v>
      </c>
      <c r="R348" s="230">
        <f t="shared" si="40"/>
        <v>60588324.879999995</v>
      </c>
      <c r="S348" s="230">
        <f t="shared" si="40"/>
        <v>61269924.879999995</v>
      </c>
      <c r="T348" s="230">
        <f t="shared" si="40"/>
        <v>62122824.879999995</v>
      </c>
    </row>
    <row r="349" spans="1:20" s="200" customFormat="1" ht="74.25" x14ac:dyDescent="0.25">
      <c r="A349" s="299"/>
      <c r="B349" s="212"/>
      <c r="C349" s="212"/>
      <c r="D349" s="212"/>
      <c r="E349" s="139" t="s">
        <v>650</v>
      </c>
      <c r="F349" s="132" t="s">
        <v>652</v>
      </c>
      <c r="G349" s="132" t="s">
        <v>421</v>
      </c>
      <c r="H349" s="211"/>
      <c r="I349" s="211"/>
      <c r="J349" s="211"/>
      <c r="K349" s="222" t="s">
        <v>55</v>
      </c>
      <c r="L349" s="222" t="s">
        <v>118</v>
      </c>
      <c r="M349" s="222" t="s">
        <v>709</v>
      </c>
      <c r="N349" s="227">
        <v>800</v>
      </c>
      <c r="O349" s="40">
        <v>1472985.25</v>
      </c>
      <c r="P349" s="40">
        <v>1003425</v>
      </c>
      <c r="Q349" s="40">
        <v>1263207.5</v>
      </c>
      <c r="R349" s="40">
        <v>336224.88</v>
      </c>
      <c r="S349" s="40">
        <v>336224.88</v>
      </c>
      <c r="T349" s="40">
        <v>336224.88</v>
      </c>
    </row>
    <row r="350" spans="1:20" s="200" customFormat="1" ht="66" x14ac:dyDescent="0.25">
      <c r="A350" s="299"/>
      <c r="B350" s="212"/>
      <c r="C350" s="212"/>
      <c r="D350" s="212"/>
      <c r="E350" s="139" t="s">
        <v>653</v>
      </c>
      <c r="F350" s="132" t="s">
        <v>412</v>
      </c>
      <c r="G350" s="132" t="s">
        <v>484</v>
      </c>
      <c r="H350" s="211"/>
      <c r="I350" s="211"/>
      <c r="J350" s="211"/>
      <c r="K350" s="222" t="s">
        <v>76</v>
      </c>
      <c r="L350" s="222" t="s">
        <v>80</v>
      </c>
      <c r="M350" s="222" t="s">
        <v>692</v>
      </c>
      <c r="N350" s="227">
        <v>600</v>
      </c>
      <c r="O350" s="40">
        <v>5888200</v>
      </c>
      <c r="P350" s="40">
        <v>5888200</v>
      </c>
      <c r="Q350" s="40">
        <v>0</v>
      </c>
      <c r="R350" s="40">
        <v>0</v>
      </c>
      <c r="S350" s="40">
        <v>0</v>
      </c>
      <c r="T350" s="40">
        <v>0</v>
      </c>
    </row>
    <row r="351" spans="1:20" s="200" customFormat="1" ht="82.5" x14ac:dyDescent="0.25">
      <c r="A351" s="299"/>
      <c r="B351" s="212"/>
      <c r="C351" s="212"/>
      <c r="D351" s="212"/>
      <c r="E351" s="139" t="s">
        <v>654</v>
      </c>
      <c r="F351" s="132" t="s">
        <v>412</v>
      </c>
      <c r="G351" s="132" t="s">
        <v>484</v>
      </c>
      <c r="H351" s="211"/>
      <c r="I351" s="211"/>
      <c r="J351" s="211"/>
      <c r="K351" s="222" t="s">
        <v>76</v>
      </c>
      <c r="L351" s="222" t="s">
        <v>80</v>
      </c>
      <c r="M351" s="222" t="s">
        <v>700</v>
      </c>
      <c r="N351" s="227">
        <v>600</v>
      </c>
      <c r="O351" s="40">
        <v>20361000</v>
      </c>
      <c r="P351" s="40">
        <v>20360916</v>
      </c>
      <c r="Q351" s="40">
        <v>24994600</v>
      </c>
      <c r="R351" s="40">
        <v>20986900</v>
      </c>
      <c r="S351" s="40">
        <v>21486300</v>
      </c>
      <c r="T351" s="40">
        <v>21826600</v>
      </c>
    </row>
    <row r="352" spans="1:20" s="200" customFormat="1" ht="66" x14ac:dyDescent="0.25">
      <c r="A352" s="299"/>
      <c r="B352" s="212"/>
      <c r="C352" s="212"/>
      <c r="D352" s="212"/>
      <c r="E352" s="139" t="s">
        <v>655</v>
      </c>
      <c r="F352" s="132" t="s">
        <v>656</v>
      </c>
      <c r="G352" s="132" t="s">
        <v>657</v>
      </c>
      <c r="H352" s="211"/>
      <c r="I352" s="211"/>
      <c r="J352" s="211"/>
      <c r="K352" s="222" t="s">
        <v>121</v>
      </c>
      <c r="L352" s="222" t="s">
        <v>88</v>
      </c>
      <c r="M352" s="222" t="s">
        <v>693</v>
      </c>
      <c r="N352" s="227">
        <v>300</v>
      </c>
      <c r="O352" s="40">
        <v>2052700</v>
      </c>
      <c r="P352" s="40">
        <v>2052700</v>
      </c>
      <c r="Q352" s="40">
        <v>1628800</v>
      </c>
      <c r="R352" s="40">
        <v>2261500</v>
      </c>
      <c r="S352" s="40">
        <v>2351900</v>
      </c>
      <c r="T352" s="40">
        <v>2446000</v>
      </c>
    </row>
    <row r="353" spans="1:20" s="200" customFormat="1" x14ac:dyDescent="0.25">
      <c r="A353" s="299"/>
      <c r="B353" s="212"/>
      <c r="C353" s="212"/>
      <c r="D353" s="212"/>
      <c r="E353" s="139"/>
      <c r="F353" s="132"/>
      <c r="G353" s="132"/>
      <c r="H353" s="211"/>
      <c r="I353" s="211"/>
      <c r="J353" s="211"/>
      <c r="K353" s="222" t="s">
        <v>121</v>
      </c>
      <c r="L353" s="222" t="s">
        <v>88</v>
      </c>
      <c r="M353" s="222" t="s">
        <v>694</v>
      </c>
      <c r="N353" s="227">
        <v>200</v>
      </c>
      <c r="O353" s="40">
        <v>35700</v>
      </c>
      <c r="P353" s="40">
        <v>24229</v>
      </c>
      <c r="Q353" s="40">
        <v>38200</v>
      </c>
      <c r="R353" s="40">
        <v>41300</v>
      </c>
      <c r="S353" s="40">
        <v>43000</v>
      </c>
      <c r="T353" s="40">
        <v>44700</v>
      </c>
    </row>
    <row r="354" spans="1:20" s="200" customFormat="1" x14ac:dyDescent="0.25">
      <c r="A354" s="299"/>
      <c r="B354" s="212"/>
      <c r="C354" s="212"/>
      <c r="D354" s="212"/>
      <c r="E354" s="139"/>
      <c r="F354" s="132"/>
      <c r="G354" s="132"/>
      <c r="H354" s="211"/>
      <c r="I354" s="211"/>
      <c r="J354" s="211"/>
      <c r="K354" s="222" t="s">
        <v>121</v>
      </c>
      <c r="L354" s="222" t="s">
        <v>88</v>
      </c>
      <c r="M354" s="222" t="s">
        <v>695</v>
      </c>
      <c r="N354" s="227">
        <v>300</v>
      </c>
      <c r="O354" s="40">
        <v>209400</v>
      </c>
      <c r="P354" s="40">
        <v>209400</v>
      </c>
      <c r="Q354" s="40">
        <v>628100</v>
      </c>
      <c r="R354" s="40">
        <v>732700</v>
      </c>
      <c r="S354" s="40">
        <v>418700</v>
      </c>
      <c r="T354" s="40">
        <v>418700</v>
      </c>
    </row>
    <row r="355" spans="1:20" s="200" customFormat="1" x14ac:dyDescent="0.25">
      <c r="A355" s="299"/>
      <c r="B355" s="212"/>
      <c r="C355" s="212"/>
      <c r="D355" s="212"/>
      <c r="E355" s="139"/>
      <c r="F355" s="132"/>
      <c r="G355" s="132"/>
      <c r="H355" s="211"/>
      <c r="I355" s="211"/>
      <c r="J355" s="211"/>
      <c r="K355" s="222" t="s">
        <v>121</v>
      </c>
      <c r="L355" s="222" t="s">
        <v>88</v>
      </c>
      <c r="M355" s="222" t="s">
        <v>696</v>
      </c>
      <c r="N355" s="227">
        <v>200</v>
      </c>
      <c r="O355" s="40">
        <v>59000</v>
      </c>
      <c r="P355" s="40">
        <v>24509.759999999998</v>
      </c>
      <c r="Q355" s="40">
        <v>59000</v>
      </c>
      <c r="R355" s="40">
        <v>55900</v>
      </c>
      <c r="S355" s="40">
        <v>58100</v>
      </c>
      <c r="T355" s="40">
        <v>60500</v>
      </c>
    </row>
    <row r="356" spans="1:20" s="200" customFormat="1" x14ac:dyDescent="0.25">
      <c r="A356" s="299"/>
      <c r="B356" s="212"/>
      <c r="C356" s="212"/>
      <c r="D356" s="212"/>
      <c r="E356" s="139"/>
      <c r="F356" s="132"/>
      <c r="G356" s="132"/>
      <c r="H356" s="211"/>
      <c r="I356" s="211"/>
      <c r="J356" s="211"/>
      <c r="K356" s="222" t="s">
        <v>121</v>
      </c>
      <c r="L356" s="222" t="s">
        <v>88</v>
      </c>
      <c r="M356" s="222" t="s">
        <v>697</v>
      </c>
      <c r="N356" s="227">
        <v>300</v>
      </c>
      <c r="O356" s="40">
        <v>8946000</v>
      </c>
      <c r="P356" s="40">
        <v>8614475</v>
      </c>
      <c r="Q356" s="40">
        <v>9023400</v>
      </c>
      <c r="R356" s="40">
        <v>12966700</v>
      </c>
      <c r="S356" s="40">
        <v>13368600</v>
      </c>
      <c r="T356" s="40">
        <v>13783000</v>
      </c>
    </row>
    <row r="357" spans="1:20" s="200" customFormat="1" x14ac:dyDescent="0.25">
      <c r="A357" s="299"/>
      <c r="B357" s="212"/>
      <c r="C357" s="212"/>
      <c r="D357" s="212"/>
      <c r="E357" s="139"/>
      <c r="F357" s="132"/>
      <c r="G357" s="132"/>
      <c r="H357" s="211"/>
      <c r="I357" s="211"/>
      <c r="J357" s="211"/>
      <c r="K357" s="222" t="s">
        <v>121</v>
      </c>
      <c r="L357" s="222" t="s">
        <v>55</v>
      </c>
      <c r="M357" s="222" t="s">
        <v>698</v>
      </c>
      <c r="N357" s="227">
        <v>200</v>
      </c>
      <c r="O357" s="40">
        <v>175181</v>
      </c>
      <c r="P357" s="40">
        <v>157559.14000000001</v>
      </c>
      <c r="Q357" s="40">
        <v>226080</v>
      </c>
      <c r="R357" s="47">
        <v>226411</v>
      </c>
      <c r="S357" s="47">
        <v>226411</v>
      </c>
      <c r="T357" s="47">
        <v>226411</v>
      </c>
    </row>
    <row r="358" spans="1:20" s="200" customFormat="1" x14ac:dyDescent="0.25">
      <c r="A358" s="299"/>
      <c r="B358" s="212"/>
      <c r="C358" s="212"/>
      <c r="D358" s="212"/>
      <c r="E358" s="139"/>
      <c r="F358" s="132"/>
      <c r="G358" s="132"/>
      <c r="H358" s="211"/>
      <c r="I358" s="211"/>
      <c r="J358" s="211"/>
      <c r="K358" s="222" t="s">
        <v>121</v>
      </c>
      <c r="L358" s="222" t="s">
        <v>55</v>
      </c>
      <c r="M358" s="222" t="s">
        <v>698</v>
      </c>
      <c r="N358" s="227">
        <v>600</v>
      </c>
      <c r="O358" s="40">
        <v>262719</v>
      </c>
      <c r="P358" s="40">
        <v>236179.26</v>
      </c>
      <c r="Q358" s="40">
        <v>339120</v>
      </c>
      <c r="R358" s="47">
        <v>339589</v>
      </c>
      <c r="S358" s="47">
        <v>339589</v>
      </c>
      <c r="T358" s="47">
        <v>339589</v>
      </c>
    </row>
    <row r="359" spans="1:20" s="200" customFormat="1" x14ac:dyDescent="0.25">
      <c r="A359" s="300"/>
      <c r="B359" s="212"/>
      <c r="C359" s="212"/>
      <c r="D359" s="212"/>
      <c r="E359" s="139"/>
      <c r="F359" s="132"/>
      <c r="G359" s="132"/>
      <c r="H359" s="211"/>
      <c r="I359" s="211"/>
      <c r="J359" s="211"/>
      <c r="K359" s="222" t="s">
        <v>121</v>
      </c>
      <c r="L359" s="222" t="s">
        <v>55</v>
      </c>
      <c r="M359" s="222" t="s">
        <v>699</v>
      </c>
      <c r="N359" s="227">
        <v>300</v>
      </c>
      <c r="O359" s="40">
        <v>17514600</v>
      </c>
      <c r="P359" s="40">
        <v>15699460.98</v>
      </c>
      <c r="Q359" s="40">
        <v>22606700</v>
      </c>
      <c r="R359" s="40">
        <v>22641100</v>
      </c>
      <c r="S359" s="40">
        <v>22641100</v>
      </c>
      <c r="T359" s="40">
        <v>22641100</v>
      </c>
    </row>
    <row r="360" spans="1:20" s="200" customFormat="1" ht="49.5" x14ac:dyDescent="0.25">
      <c r="A360" s="298" t="s">
        <v>616</v>
      </c>
      <c r="B360" s="128" t="s">
        <v>372</v>
      </c>
      <c r="C360" s="129" t="s">
        <v>620</v>
      </c>
      <c r="D360" s="129" t="s">
        <v>374</v>
      </c>
      <c r="E360" s="182" t="s">
        <v>658</v>
      </c>
      <c r="F360" s="129" t="s">
        <v>659</v>
      </c>
      <c r="G360" s="129" t="s">
        <v>660</v>
      </c>
      <c r="H360" s="136" t="s">
        <v>53</v>
      </c>
      <c r="I360" s="3"/>
      <c r="J360" s="3" t="s">
        <v>313</v>
      </c>
      <c r="K360" s="222"/>
      <c r="L360" s="222"/>
      <c r="M360" s="222"/>
      <c r="N360" s="227"/>
      <c r="O360" s="230">
        <f>SUM(O361:O365)</f>
        <v>3172000</v>
      </c>
      <c r="P360" s="230">
        <f t="shared" ref="P360:T360" si="41">SUM(P361:P365)</f>
        <v>3002454.0699999994</v>
      </c>
      <c r="Q360" s="230">
        <f t="shared" si="41"/>
        <v>3163000</v>
      </c>
      <c r="R360" s="230">
        <f t="shared" si="41"/>
        <v>2870077</v>
      </c>
      <c r="S360" s="230">
        <f t="shared" si="41"/>
        <v>2984491</v>
      </c>
      <c r="T360" s="230">
        <f t="shared" si="41"/>
        <v>3105315</v>
      </c>
    </row>
    <row r="361" spans="1:20" s="200" customFormat="1" ht="41.25" x14ac:dyDescent="0.25">
      <c r="A361" s="299"/>
      <c r="B361" s="130" t="s">
        <v>626</v>
      </c>
      <c r="C361" s="131" t="s">
        <v>627</v>
      </c>
      <c r="D361" s="131" t="s">
        <v>628</v>
      </c>
      <c r="E361" s="139" t="s">
        <v>661</v>
      </c>
      <c r="F361" s="131" t="s">
        <v>662</v>
      </c>
      <c r="G361" s="131" t="s">
        <v>663</v>
      </c>
      <c r="H361" s="211"/>
      <c r="I361" s="211"/>
      <c r="J361" s="211"/>
      <c r="K361" s="222" t="s">
        <v>54</v>
      </c>
      <c r="L361" s="222" t="s">
        <v>60</v>
      </c>
      <c r="M361" s="222" t="s">
        <v>689</v>
      </c>
      <c r="N361" s="227">
        <v>200</v>
      </c>
      <c r="O361" s="40">
        <v>6000</v>
      </c>
      <c r="P361" s="40">
        <v>0</v>
      </c>
      <c r="Q361" s="40">
        <v>6000</v>
      </c>
      <c r="R361" s="40">
        <v>6000</v>
      </c>
      <c r="S361" s="40">
        <v>6000</v>
      </c>
      <c r="T361" s="40">
        <v>6000</v>
      </c>
    </row>
    <row r="362" spans="1:20" s="200" customFormat="1" ht="41.25" x14ac:dyDescent="0.25">
      <c r="A362" s="299"/>
      <c r="B362" s="130"/>
      <c r="C362" s="131"/>
      <c r="D362" s="131"/>
      <c r="E362" s="139" t="s">
        <v>664</v>
      </c>
      <c r="F362" s="131" t="s">
        <v>662</v>
      </c>
      <c r="G362" s="131" t="s">
        <v>421</v>
      </c>
      <c r="H362" s="211"/>
      <c r="I362" s="211"/>
      <c r="J362" s="211"/>
      <c r="K362" s="222" t="s">
        <v>54</v>
      </c>
      <c r="L362" s="222" t="s">
        <v>60</v>
      </c>
      <c r="M362" s="222" t="s">
        <v>690</v>
      </c>
      <c r="N362" s="227">
        <v>100</v>
      </c>
      <c r="O362" s="40">
        <v>1278619.1200000001</v>
      </c>
      <c r="P362" s="40">
        <v>1259670.8999999999</v>
      </c>
      <c r="Q362" s="40">
        <v>1255636</v>
      </c>
      <c r="R362" s="47">
        <v>1062077</v>
      </c>
      <c r="S362" s="47">
        <v>1104491</v>
      </c>
      <c r="T362" s="47">
        <v>1149315</v>
      </c>
    </row>
    <row r="363" spans="1:20" s="200" customFormat="1" ht="74.25" x14ac:dyDescent="0.25">
      <c r="A363" s="299"/>
      <c r="B363" s="130"/>
      <c r="C363" s="131"/>
      <c r="D363" s="131"/>
      <c r="E363" s="139" t="s">
        <v>665</v>
      </c>
      <c r="F363" s="131" t="s">
        <v>666</v>
      </c>
      <c r="G363" s="131" t="s">
        <v>472</v>
      </c>
      <c r="H363" s="211"/>
      <c r="I363" s="211"/>
      <c r="J363" s="211"/>
      <c r="K363" s="222" t="s">
        <v>54</v>
      </c>
      <c r="L363" s="222" t="s">
        <v>60</v>
      </c>
      <c r="M363" s="222" t="s">
        <v>690</v>
      </c>
      <c r="N363" s="227">
        <v>200</v>
      </c>
      <c r="O363" s="40">
        <v>125380.88</v>
      </c>
      <c r="P363" s="40">
        <v>112128.96000000001</v>
      </c>
      <c r="Q363" s="40">
        <v>139364</v>
      </c>
      <c r="R363" s="40">
        <v>0</v>
      </c>
      <c r="S363" s="40">
        <v>0</v>
      </c>
      <c r="T363" s="40">
        <v>0</v>
      </c>
    </row>
    <row r="364" spans="1:20" s="200" customFormat="1" x14ac:dyDescent="0.25">
      <c r="A364" s="299"/>
      <c r="B364" s="130"/>
      <c r="C364" s="131"/>
      <c r="D364" s="131"/>
      <c r="E364" s="139"/>
      <c r="F364" s="131"/>
      <c r="G364" s="131"/>
      <c r="H364" s="211"/>
      <c r="I364" s="211"/>
      <c r="J364" s="211"/>
      <c r="K364" s="222" t="s">
        <v>121</v>
      </c>
      <c r="L364" s="222" t="s">
        <v>55</v>
      </c>
      <c r="M364" s="222" t="s">
        <v>691</v>
      </c>
      <c r="N364" s="227">
        <v>100</v>
      </c>
      <c r="O364" s="40">
        <v>1616512</v>
      </c>
      <c r="P364" s="40">
        <v>1490301.91</v>
      </c>
      <c r="Q364" s="40">
        <v>1620562</v>
      </c>
      <c r="R364" s="47">
        <v>1646562</v>
      </c>
      <c r="S364" s="47">
        <v>1646562</v>
      </c>
      <c r="T364" s="47">
        <v>1646562</v>
      </c>
    </row>
    <row r="365" spans="1:20" s="200" customFormat="1" x14ac:dyDescent="0.25">
      <c r="A365" s="300"/>
      <c r="B365" s="130"/>
      <c r="C365" s="131"/>
      <c r="D365" s="131"/>
      <c r="E365" s="139"/>
      <c r="F365" s="131"/>
      <c r="G365" s="131"/>
      <c r="H365" s="211"/>
      <c r="I365" s="211"/>
      <c r="J365" s="211"/>
      <c r="K365" s="222" t="s">
        <v>121</v>
      </c>
      <c r="L365" s="222" t="s">
        <v>55</v>
      </c>
      <c r="M365" s="222" t="s">
        <v>691</v>
      </c>
      <c r="N365" s="227">
        <v>200</v>
      </c>
      <c r="O365" s="40">
        <v>145488</v>
      </c>
      <c r="P365" s="40">
        <v>140352.29999999999</v>
      </c>
      <c r="Q365" s="40">
        <v>141438</v>
      </c>
      <c r="R365" s="47">
        <v>155438</v>
      </c>
      <c r="S365" s="47">
        <v>227438</v>
      </c>
      <c r="T365" s="47">
        <v>303438</v>
      </c>
    </row>
    <row r="366" spans="1:20" s="200" customFormat="1" ht="49.5" x14ac:dyDescent="0.25">
      <c r="A366" s="298" t="s">
        <v>617</v>
      </c>
      <c r="B366" s="128" t="s">
        <v>372</v>
      </c>
      <c r="C366" s="129" t="s">
        <v>620</v>
      </c>
      <c r="D366" s="129" t="s">
        <v>374</v>
      </c>
      <c r="E366" s="135" t="s">
        <v>667</v>
      </c>
      <c r="F366" s="129" t="s">
        <v>668</v>
      </c>
      <c r="G366" s="129" t="s">
        <v>669</v>
      </c>
      <c r="H366" s="136" t="s">
        <v>53</v>
      </c>
      <c r="I366" s="3"/>
      <c r="J366" s="3" t="s">
        <v>313</v>
      </c>
      <c r="K366" s="222"/>
      <c r="L366" s="222"/>
      <c r="M366" s="222"/>
      <c r="N366" s="227"/>
      <c r="O366" s="230">
        <f>SUM(O367:O371)</f>
        <v>27131300</v>
      </c>
      <c r="P366" s="230">
        <f t="shared" ref="P366:T366" si="42">SUM(P367:P371)</f>
        <v>26030139.379999999</v>
      </c>
      <c r="Q366" s="230">
        <f t="shared" si="42"/>
        <v>29850600</v>
      </c>
      <c r="R366" s="230">
        <f t="shared" si="42"/>
        <v>33364800</v>
      </c>
      <c r="S366" s="230">
        <f t="shared" si="42"/>
        <v>35360000</v>
      </c>
      <c r="T366" s="230">
        <f t="shared" si="42"/>
        <v>37810700</v>
      </c>
    </row>
    <row r="367" spans="1:20" s="200" customFormat="1" ht="66" x14ac:dyDescent="0.25">
      <c r="A367" s="299"/>
      <c r="B367" s="130" t="s">
        <v>623</v>
      </c>
      <c r="C367" s="131" t="s">
        <v>624</v>
      </c>
      <c r="D367" s="131" t="s">
        <v>625</v>
      </c>
      <c r="E367" s="138" t="s">
        <v>670</v>
      </c>
      <c r="F367" s="131" t="s">
        <v>671</v>
      </c>
      <c r="G367" s="131" t="s">
        <v>421</v>
      </c>
      <c r="H367" s="211"/>
      <c r="I367" s="211"/>
      <c r="J367" s="211"/>
      <c r="K367" s="222" t="s">
        <v>121</v>
      </c>
      <c r="L367" s="222" t="s">
        <v>55</v>
      </c>
      <c r="M367" s="222" t="s">
        <v>685</v>
      </c>
      <c r="N367" s="227">
        <v>300</v>
      </c>
      <c r="O367" s="40">
        <v>21508400</v>
      </c>
      <c r="P367" s="40">
        <v>20957705.640000001</v>
      </c>
      <c r="Q367" s="40">
        <v>23337300</v>
      </c>
      <c r="R367" s="40">
        <v>26694500</v>
      </c>
      <c r="S367" s="40">
        <v>28421700</v>
      </c>
      <c r="T367" s="40">
        <v>30590400</v>
      </c>
    </row>
    <row r="368" spans="1:20" s="200" customFormat="1" ht="57.75" x14ac:dyDescent="0.25">
      <c r="A368" s="299"/>
      <c r="B368" s="130"/>
      <c r="C368" s="131"/>
      <c r="D368" s="131"/>
      <c r="E368" s="138" t="s">
        <v>672</v>
      </c>
      <c r="F368" s="131" t="s">
        <v>412</v>
      </c>
      <c r="G368" s="131" t="s">
        <v>421</v>
      </c>
      <c r="H368" s="211"/>
      <c r="I368" s="211"/>
      <c r="J368" s="211"/>
      <c r="K368" s="222" t="s">
        <v>121</v>
      </c>
      <c r="L368" s="222" t="s">
        <v>55</v>
      </c>
      <c r="M368" s="222" t="s">
        <v>688</v>
      </c>
      <c r="N368" s="227">
        <v>300</v>
      </c>
      <c r="O368" s="40">
        <v>9500</v>
      </c>
      <c r="P368" s="40">
        <v>0</v>
      </c>
      <c r="Q368" s="40">
        <v>18900</v>
      </c>
      <c r="R368" s="40">
        <v>39300</v>
      </c>
      <c r="S368" s="40">
        <v>40900</v>
      </c>
      <c r="T368" s="40">
        <v>42500</v>
      </c>
    </row>
    <row r="369" spans="1:20" s="200" customFormat="1" ht="33" x14ac:dyDescent="0.25">
      <c r="A369" s="299"/>
      <c r="B369" s="130"/>
      <c r="C369" s="131"/>
      <c r="D369" s="131"/>
      <c r="E369" s="138" t="s">
        <v>673</v>
      </c>
      <c r="F369" s="131" t="s">
        <v>423</v>
      </c>
      <c r="G369" s="131" t="s">
        <v>674</v>
      </c>
      <c r="H369" s="211"/>
      <c r="I369" s="211"/>
      <c r="J369" s="211"/>
      <c r="K369" s="222" t="s">
        <v>121</v>
      </c>
      <c r="L369" s="222" t="s">
        <v>55</v>
      </c>
      <c r="M369" s="222" t="s">
        <v>686</v>
      </c>
      <c r="N369" s="227">
        <v>100</v>
      </c>
      <c r="O369" s="40">
        <v>4607288</v>
      </c>
      <c r="P369" s="40">
        <v>4197225.29</v>
      </c>
      <c r="Q369" s="40">
        <v>4607288</v>
      </c>
      <c r="R369" s="47">
        <v>4833779</v>
      </c>
      <c r="S369" s="47">
        <v>4833779</v>
      </c>
      <c r="T369" s="47">
        <v>4833779</v>
      </c>
    </row>
    <row r="370" spans="1:20" s="200" customFormat="1" ht="66" x14ac:dyDescent="0.25">
      <c r="A370" s="299"/>
      <c r="B370" s="130"/>
      <c r="C370" s="131"/>
      <c r="D370" s="131"/>
      <c r="E370" s="138" t="s">
        <v>675</v>
      </c>
      <c r="F370" s="131" t="s">
        <v>676</v>
      </c>
      <c r="G370" s="131" t="s">
        <v>484</v>
      </c>
      <c r="H370" s="211"/>
      <c r="I370" s="211"/>
      <c r="J370" s="211"/>
      <c r="K370" s="222" t="s">
        <v>121</v>
      </c>
      <c r="L370" s="222" t="s">
        <v>55</v>
      </c>
      <c r="M370" s="222" t="s">
        <v>686</v>
      </c>
      <c r="N370" s="227">
        <v>200</v>
      </c>
      <c r="O370" s="40">
        <v>678712</v>
      </c>
      <c r="P370" s="40">
        <v>594241.57999999996</v>
      </c>
      <c r="Q370" s="40">
        <v>1559712</v>
      </c>
      <c r="R370" s="40">
        <v>1473221</v>
      </c>
      <c r="S370" s="40">
        <v>1725221</v>
      </c>
      <c r="T370" s="40">
        <v>1991221</v>
      </c>
    </row>
    <row r="371" spans="1:20" s="200" customFormat="1" ht="82.5" x14ac:dyDescent="0.25">
      <c r="A371" s="300"/>
      <c r="B371" s="130"/>
      <c r="C371" s="131"/>
      <c r="D371" s="131"/>
      <c r="E371" s="139" t="s">
        <v>677</v>
      </c>
      <c r="F371" s="131" t="s">
        <v>676</v>
      </c>
      <c r="G371" s="131" t="s">
        <v>678</v>
      </c>
      <c r="H371" s="211"/>
      <c r="I371" s="211"/>
      <c r="J371" s="211"/>
      <c r="K371" s="222" t="s">
        <v>121</v>
      </c>
      <c r="L371" s="222" t="s">
        <v>55</v>
      </c>
      <c r="M371" s="222" t="s">
        <v>687</v>
      </c>
      <c r="N371" s="227">
        <v>100</v>
      </c>
      <c r="O371" s="40">
        <v>327400</v>
      </c>
      <c r="P371" s="40">
        <v>280966.87</v>
      </c>
      <c r="Q371" s="40">
        <v>327400</v>
      </c>
      <c r="R371" s="40">
        <v>324000</v>
      </c>
      <c r="S371" s="40">
        <v>338400</v>
      </c>
      <c r="T371" s="40">
        <v>352800</v>
      </c>
    </row>
    <row r="372" spans="1:20" s="200" customFormat="1" ht="41.25" customHeight="1" x14ac:dyDescent="0.25">
      <c r="A372" s="298" t="s">
        <v>618</v>
      </c>
      <c r="B372" s="128" t="s">
        <v>372</v>
      </c>
      <c r="C372" s="129" t="s">
        <v>620</v>
      </c>
      <c r="D372" s="129" t="s">
        <v>374</v>
      </c>
      <c r="E372" s="135" t="s">
        <v>528</v>
      </c>
      <c r="F372" s="129" t="s">
        <v>474</v>
      </c>
      <c r="G372" s="129" t="s">
        <v>529</v>
      </c>
      <c r="H372" s="211"/>
      <c r="I372" s="211"/>
      <c r="J372" s="211"/>
      <c r="K372" s="222"/>
      <c r="L372" s="222"/>
      <c r="M372" s="222"/>
      <c r="N372" s="227"/>
      <c r="O372" s="230">
        <f>SUM(O373:O374)</f>
        <v>5203957.0999999996</v>
      </c>
      <c r="P372" s="230">
        <f t="shared" ref="P372:T372" si="43">SUM(P373:P374)</f>
        <v>5001595.3</v>
      </c>
      <c r="Q372" s="230">
        <f t="shared" si="43"/>
        <v>10354065</v>
      </c>
      <c r="R372" s="230">
        <f t="shared" si="43"/>
        <v>7324436</v>
      </c>
      <c r="S372" s="230">
        <f t="shared" si="43"/>
        <v>7617404</v>
      </c>
      <c r="T372" s="230">
        <f t="shared" si="43"/>
        <v>7922108.4000000004</v>
      </c>
    </row>
    <row r="373" spans="1:20" s="200" customFormat="1" ht="33" x14ac:dyDescent="0.25">
      <c r="A373" s="299"/>
      <c r="B373" s="130" t="s">
        <v>526</v>
      </c>
      <c r="C373" s="131" t="s">
        <v>460</v>
      </c>
      <c r="D373" s="131" t="s">
        <v>527</v>
      </c>
      <c r="E373" s="211"/>
      <c r="F373" s="211"/>
      <c r="G373" s="211"/>
      <c r="H373" s="211"/>
      <c r="I373" s="211"/>
      <c r="J373" s="211"/>
      <c r="K373" s="222" t="s">
        <v>55</v>
      </c>
      <c r="L373" s="222" t="s">
        <v>153</v>
      </c>
      <c r="M373" s="222" t="s">
        <v>701</v>
      </c>
      <c r="N373" s="227">
        <v>200</v>
      </c>
      <c r="O373" s="40">
        <v>5186337.0999999996</v>
      </c>
      <c r="P373" s="40">
        <v>4983975.3</v>
      </c>
      <c r="Q373" s="40">
        <v>10336445</v>
      </c>
      <c r="R373" s="40">
        <v>7306416</v>
      </c>
      <c r="S373" s="40">
        <v>7598664</v>
      </c>
      <c r="T373" s="40">
        <v>7902608.4000000004</v>
      </c>
    </row>
    <row r="374" spans="1:20" s="200" customFormat="1" x14ac:dyDescent="0.25">
      <c r="A374" s="300"/>
      <c r="B374" s="130"/>
      <c r="C374" s="131"/>
      <c r="D374" s="131"/>
      <c r="E374" s="211"/>
      <c r="F374" s="211"/>
      <c r="G374" s="211"/>
      <c r="H374" s="211"/>
      <c r="I374" s="211"/>
      <c r="J374" s="211"/>
      <c r="K374" s="222" t="s">
        <v>55</v>
      </c>
      <c r="L374" s="222" t="s">
        <v>153</v>
      </c>
      <c r="M374" s="222" t="s">
        <v>702</v>
      </c>
      <c r="N374" s="227">
        <v>200</v>
      </c>
      <c r="O374" s="40">
        <v>17620</v>
      </c>
      <c r="P374" s="40">
        <v>17620</v>
      </c>
      <c r="Q374" s="40">
        <v>17620</v>
      </c>
      <c r="R374" s="40">
        <v>18020</v>
      </c>
      <c r="S374" s="40">
        <v>18740</v>
      </c>
      <c r="T374" s="40">
        <v>19500</v>
      </c>
    </row>
    <row r="375" spans="1:20" s="200" customFormat="1" ht="57.75" x14ac:dyDescent="0.25">
      <c r="A375" s="298" t="s">
        <v>619</v>
      </c>
      <c r="B375" s="128" t="s">
        <v>372</v>
      </c>
      <c r="C375" s="129" t="s">
        <v>620</v>
      </c>
      <c r="D375" s="129" t="s">
        <v>374</v>
      </c>
      <c r="E375" s="135" t="s">
        <v>491</v>
      </c>
      <c r="F375" s="129" t="s">
        <v>443</v>
      </c>
      <c r="G375" s="129" t="s">
        <v>492</v>
      </c>
      <c r="H375" s="136" t="s">
        <v>53</v>
      </c>
      <c r="I375" s="3"/>
      <c r="J375" s="3" t="s">
        <v>313</v>
      </c>
      <c r="K375" s="222"/>
      <c r="L375" s="222"/>
      <c r="M375" s="222"/>
      <c r="N375" s="227"/>
      <c r="O375" s="230">
        <f>O376</f>
        <v>56000</v>
      </c>
      <c r="P375" s="230">
        <f t="shared" ref="P375:T375" si="44">P376</f>
        <v>54339.73</v>
      </c>
      <c r="Q375" s="230">
        <f t="shared" si="44"/>
        <v>56000</v>
      </c>
      <c r="R375" s="230">
        <f t="shared" si="44"/>
        <v>57614</v>
      </c>
      <c r="S375" s="230">
        <f t="shared" si="44"/>
        <v>59433</v>
      </c>
      <c r="T375" s="230">
        <f t="shared" si="44"/>
        <v>61560</v>
      </c>
    </row>
    <row r="376" spans="1:20" s="200" customFormat="1" ht="73.5" customHeight="1" x14ac:dyDescent="0.25">
      <c r="A376" s="300"/>
      <c r="B376" s="130" t="s">
        <v>621</v>
      </c>
      <c r="C376" s="131" t="s">
        <v>471</v>
      </c>
      <c r="D376" s="131" t="s">
        <v>622</v>
      </c>
      <c r="E376" s="211"/>
      <c r="F376" s="211"/>
      <c r="G376" s="211"/>
      <c r="H376" s="211"/>
      <c r="I376" s="211"/>
      <c r="J376" s="211"/>
      <c r="K376" s="222" t="s">
        <v>55</v>
      </c>
      <c r="L376" s="222" t="s">
        <v>18</v>
      </c>
      <c r="M376" s="222" t="s">
        <v>703</v>
      </c>
      <c r="N376" s="227">
        <v>100</v>
      </c>
      <c r="O376" s="40">
        <v>56000</v>
      </c>
      <c r="P376" s="40">
        <v>54339.73</v>
      </c>
      <c r="Q376" s="40">
        <v>56000</v>
      </c>
      <c r="R376" s="40">
        <v>57614</v>
      </c>
      <c r="S376" s="40">
        <v>59433</v>
      </c>
      <c r="T376" s="40">
        <v>61560</v>
      </c>
    </row>
    <row r="377" spans="1:20" s="2" customFormat="1" ht="42.75" customHeight="1" x14ac:dyDescent="0.2">
      <c r="A377" s="304" t="s">
        <v>39</v>
      </c>
      <c r="B377" s="128" t="s">
        <v>372</v>
      </c>
      <c r="C377" s="129" t="s">
        <v>531</v>
      </c>
      <c r="D377" s="129" t="s">
        <v>374</v>
      </c>
      <c r="E377" s="135" t="s">
        <v>532</v>
      </c>
      <c r="F377" s="129" t="s">
        <v>533</v>
      </c>
      <c r="G377" s="129" t="s">
        <v>534</v>
      </c>
      <c r="H377" s="136" t="s">
        <v>53</v>
      </c>
      <c r="I377" s="3"/>
      <c r="J377" s="3" t="s">
        <v>324</v>
      </c>
      <c r="K377" s="231"/>
      <c r="L377" s="232"/>
      <c r="M377" s="232"/>
      <c r="N377" s="232"/>
      <c r="O377" s="86">
        <f>O378</f>
        <v>408500</v>
      </c>
      <c r="P377" s="86">
        <f t="shared" ref="P377:T377" si="45">P378</f>
        <v>408500</v>
      </c>
      <c r="Q377" s="86">
        <f t="shared" si="45"/>
        <v>0</v>
      </c>
      <c r="R377" s="86">
        <f t="shared" si="45"/>
        <v>0</v>
      </c>
      <c r="S377" s="86">
        <f t="shared" si="45"/>
        <v>0</v>
      </c>
      <c r="T377" s="86">
        <f t="shared" si="45"/>
        <v>0</v>
      </c>
    </row>
    <row r="378" spans="1:20" x14ac:dyDescent="0.25">
      <c r="A378" s="304"/>
      <c r="B378" s="136"/>
      <c r="C378" s="3"/>
      <c r="D378" s="3"/>
      <c r="E378" s="136"/>
      <c r="F378" s="3"/>
      <c r="G378" s="3"/>
      <c r="H378" s="136"/>
      <c r="I378" s="3"/>
      <c r="J378" s="3"/>
      <c r="K378" s="28" t="s">
        <v>88</v>
      </c>
      <c r="L378" s="12" t="s">
        <v>55</v>
      </c>
      <c r="M378" s="12" t="s">
        <v>543</v>
      </c>
      <c r="N378" s="12" t="s">
        <v>57</v>
      </c>
      <c r="O378" s="7">
        <v>408500</v>
      </c>
      <c r="P378" s="7">
        <v>408500</v>
      </c>
      <c r="Q378" s="7">
        <v>0</v>
      </c>
      <c r="R378" s="7">
        <v>0</v>
      </c>
      <c r="S378" s="7">
        <v>0</v>
      </c>
      <c r="T378" s="87">
        <v>0</v>
      </c>
    </row>
    <row r="379" spans="1:20" x14ac:dyDescent="0.25">
      <c r="A379" s="218"/>
      <c r="B379" s="156"/>
      <c r="C379" s="6"/>
      <c r="D379" s="6"/>
      <c r="E379" s="156"/>
      <c r="F379" s="6"/>
      <c r="G379" s="6"/>
      <c r="H379" s="156"/>
      <c r="I379" s="6"/>
      <c r="J379" s="6"/>
      <c r="K379" s="11"/>
      <c r="L379" s="11"/>
      <c r="M379" s="57"/>
      <c r="N379" s="58"/>
      <c r="O379" s="58"/>
      <c r="P379" s="58"/>
      <c r="Q379" s="58"/>
      <c r="R379" s="58"/>
      <c r="S379" s="59"/>
      <c r="T379" s="1"/>
    </row>
    <row r="380" spans="1:20" x14ac:dyDescent="0.25">
      <c r="A380" s="218"/>
      <c r="B380" s="156"/>
      <c r="C380" s="6"/>
      <c r="D380" s="6"/>
      <c r="E380" s="156"/>
      <c r="F380" s="6"/>
      <c r="G380" s="6"/>
      <c r="H380" s="156"/>
      <c r="I380" s="6"/>
      <c r="J380" s="6"/>
      <c r="K380" s="11"/>
      <c r="L380" s="11"/>
      <c r="M380" s="57"/>
      <c r="N380" s="58"/>
      <c r="O380" s="58"/>
      <c r="P380" s="58"/>
      <c r="Q380" s="58"/>
      <c r="R380" s="58"/>
      <c r="S380" s="58"/>
      <c r="T380" s="1"/>
    </row>
    <row r="381" spans="1:20" x14ac:dyDescent="0.25">
      <c r="A381" s="218"/>
      <c r="B381" s="156"/>
      <c r="C381" s="6"/>
      <c r="D381" s="6"/>
      <c r="E381" s="156"/>
      <c r="F381" s="6"/>
      <c r="G381" s="6"/>
      <c r="H381" s="156"/>
      <c r="I381" s="6"/>
      <c r="J381" s="6"/>
      <c r="K381" s="11"/>
      <c r="L381" s="11"/>
      <c r="M381" s="57"/>
      <c r="N381" s="58"/>
      <c r="O381" s="58"/>
      <c r="P381" s="58"/>
      <c r="Q381" s="58"/>
      <c r="R381" s="58"/>
      <c r="S381" s="58"/>
      <c r="T381" s="1"/>
    </row>
    <row r="382" spans="1:20" x14ac:dyDescent="0.25">
      <c r="A382" s="218"/>
      <c r="B382" s="156"/>
      <c r="C382" s="6"/>
      <c r="D382" s="6"/>
      <c r="E382" s="156"/>
      <c r="F382" s="6"/>
      <c r="G382" s="6"/>
      <c r="H382" s="156"/>
      <c r="I382" s="6"/>
      <c r="J382" s="6"/>
      <c r="K382" s="11"/>
      <c r="L382" s="11"/>
      <c r="M382" s="57"/>
      <c r="N382" s="58"/>
      <c r="O382" s="58"/>
      <c r="P382" s="58"/>
      <c r="Q382" s="58"/>
      <c r="R382" s="58"/>
      <c r="S382" s="58"/>
      <c r="T382" s="1"/>
    </row>
    <row r="383" spans="1:20" s="247" customFormat="1" ht="14.25" x14ac:dyDescent="0.2">
      <c r="A383" s="239" t="s">
        <v>359</v>
      </c>
      <c r="B383" s="240"/>
      <c r="C383" s="241"/>
      <c r="D383" s="295" t="s">
        <v>587</v>
      </c>
      <c r="E383" s="295"/>
      <c r="F383" s="241"/>
      <c r="G383" s="242"/>
      <c r="H383" s="243"/>
      <c r="I383" s="242"/>
      <c r="J383" s="242"/>
      <c r="K383" s="244"/>
      <c r="L383" s="245"/>
      <c r="M383" s="246"/>
      <c r="N383" s="246"/>
      <c r="O383" s="246"/>
      <c r="P383" s="246"/>
      <c r="Q383" s="246"/>
      <c r="R383" s="246"/>
      <c r="S383" s="246"/>
    </row>
    <row r="384" spans="1:20" s="257" customFormat="1" ht="13.5" x14ac:dyDescent="0.2">
      <c r="A384" s="248"/>
      <c r="B384" s="249" t="s">
        <v>9</v>
      </c>
      <c r="C384" s="249"/>
      <c r="D384" s="293" t="s">
        <v>10</v>
      </c>
      <c r="E384" s="293"/>
      <c r="F384" s="250"/>
      <c r="G384" s="251"/>
      <c r="H384" s="252"/>
      <c r="I384" s="253"/>
      <c r="J384" s="253"/>
      <c r="K384" s="254"/>
      <c r="L384" s="255"/>
      <c r="M384" s="256"/>
      <c r="N384" s="256"/>
      <c r="O384" s="256"/>
      <c r="P384" s="256"/>
      <c r="Q384" s="256"/>
      <c r="R384" s="256"/>
      <c r="S384" s="256"/>
    </row>
    <row r="385" spans="1:19" s="247" customFormat="1" ht="14.25" x14ac:dyDescent="0.2">
      <c r="A385" s="258" t="s">
        <v>710</v>
      </c>
      <c r="B385" s="240"/>
      <c r="C385" s="241"/>
      <c r="D385" s="294" t="s">
        <v>357</v>
      </c>
      <c r="E385" s="294"/>
      <c r="F385" s="259"/>
      <c r="G385" s="242"/>
      <c r="H385" s="260"/>
      <c r="I385" s="261"/>
      <c r="J385" s="261"/>
      <c r="K385" s="245"/>
      <c r="L385" s="262"/>
      <c r="M385" s="263"/>
      <c r="N385" s="263"/>
      <c r="O385" s="263"/>
      <c r="P385" s="264"/>
      <c r="Q385" s="264"/>
      <c r="R385" s="264"/>
      <c r="S385" s="265"/>
    </row>
    <row r="386" spans="1:19" x14ac:dyDescent="0.25">
      <c r="A386" s="220"/>
      <c r="B386" s="249" t="s">
        <v>9</v>
      </c>
      <c r="C386" s="88"/>
      <c r="D386" s="292" t="s">
        <v>10</v>
      </c>
      <c r="E386" s="292"/>
      <c r="F386" s="115"/>
      <c r="G386" s="19"/>
      <c r="H386" s="158"/>
      <c r="I386" s="21"/>
      <c r="J386" s="21"/>
      <c r="K386" s="63"/>
      <c r="L386" s="63"/>
      <c r="M386" s="297"/>
      <c r="N386" s="297"/>
      <c r="O386" s="297"/>
      <c r="P386" s="60"/>
      <c r="Q386" s="64"/>
      <c r="R386" s="64"/>
      <c r="S386" s="64"/>
    </row>
    <row r="387" spans="1:19" x14ac:dyDescent="0.25">
      <c r="A387" s="219"/>
      <c r="B387" s="157"/>
      <c r="C387" s="19"/>
      <c r="D387" s="19"/>
      <c r="E387" s="157"/>
      <c r="F387" s="19"/>
      <c r="G387" s="19"/>
      <c r="H387" s="157"/>
      <c r="I387" s="19"/>
      <c r="J387" s="19"/>
      <c r="K387" s="63"/>
      <c r="L387" s="63"/>
      <c r="M387" s="60"/>
      <c r="N387" s="60"/>
      <c r="O387" s="60"/>
      <c r="P387" s="60"/>
      <c r="Q387" s="61"/>
      <c r="R387" s="61"/>
      <c r="S387" s="61"/>
    </row>
    <row r="388" spans="1:19" x14ac:dyDescent="0.25">
      <c r="A388" s="219" t="s">
        <v>707</v>
      </c>
      <c r="H388" s="160"/>
      <c r="I388" s="20"/>
      <c r="J388" s="20"/>
      <c r="K388" s="65"/>
      <c r="L388" s="65"/>
      <c r="M388" s="66"/>
      <c r="N388" s="66"/>
      <c r="O388" s="66"/>
      <c r="P388" s="66"/>
      <c r="Q388" s="66"/>
      <c r="R388" s="66"/>
      <c r="S388" s="67"/>
    </row>
    <row r="389" spans="1:19" x14ac:dyDescent="0.25">
      <c r="M389" s="62"/>
      <c r="N389" s="228"/>
    </row>
    <row r="390" spans="1:19" x14ac:dyDescent="0.25">
      <c r="M390" s="62"/>
      <c r="N390" s="228"/>
    </row>
    <row r="391" spans="1:19" x14ac:dyDescent="0.25">
      <c r="M391" s="62"/>
      <c r="N391" s="228"/>
    </row>
    <row r="392" spans="1:19" x14ac:dyDescent="0.25">
      <c r="M392" s="62"/>
      <c r="N392" s="228"/>
    </row>
    <row r="393" spans="1:19" x14ac:dyDescent="0.25">
      <c r="M393" s="62"/>
      <c r="N393" s="228"/>
    </row>
    <row r="394" spans="1:19" x14ac:dyDescent="0.25">
      <c r="M394" s="62"/>
      <c r="N394" s="228"/>
    </row>
    <row r="395" spans="1:19" x14ac:dyDescent="0.25">
      <c r="M395" s="62"/>
      <c r="N395" s="228"/>
    </row>
    <row r="396" spans="1:19" x14ac:dyDescent="0.25">
      <c r="M396" s="62"/>
      <c r="N396" s="228"/>
    </row>
    <row r="397" spans="1:19" x14ac:dyDescent="0.25">
      <c r="M397" s="62"/>
      <c r="N397" s="228"/>
    </row>
    <row r="398" spans="1:19" x14ac:dyDescent="0.25">
      <c r="M398" s="62"/>
      <c r="N398" s="228"/>
    </row>
    <row r="399" spans="1:19" x14ac:dyDescent="0.25">
      <c r="M399" s="62"/>
      <c r="N399" s="228"/>
    </row>
    <row r="400" spans="1:19" x14ac:dyDescent="0.25">
      <c r="M400" s="62"/>
      <c r="N400" s="228"/>
    </row>
    <row r="401" spans="13:14" x14ac:dyDescent="0.25">
      <c r="M401" s="62"/>
      <c r="N401" s="228"/>
    </row>
    <row r="402" spans="13:14" x14ac:dyDescent="0.25">
      <c r="M402" s="62"/>
      <c r="N402" s="228"/>
    </row>
    <row r="403" spans="13:14" x14ac:dyDescent="0.25">
      <c r="M403" s="62"/>
      <c r="N403" s="228"/>
    </row>
    <row r="404" spans="13:14" x14ac:dyDescent="0.25">
      <c r="M404" s="62"/>
      <c r="N404" s="228"/>
    </row>
    <row r="405" spans="13:14" x14ac:dyDescent="0.25">
      <c r="M405" s="62"/>
      <c r="N405" s="228"/>
    </row>
    <row r="406" spans="13:14" x14ac:dyDescent="0.25">
      <c r="M406" s="62"/>
      <c r="N406" s="228"/>
    </row>
    <row r="407" spans="13:14" x14ac:dyDescent="0.25">
      <c r="M407" s="62"/>
      <c r="N407" s="228"/>
    </row>
    <row r="408" spans="13:14" x14ac:dyDescent="0.25">
      <c r="M408" s="62"/>
      <c r="N408" s="228"/>
    </row>
    <row r="409" spans="13:14" x14ac:dyDescent="0.25">
      <c r="M409" s="62"/>
      <c r="N409" s="228"/>
    </row>
    <row r="410" spans="13:14" x14ac:dyDescent="0.25">
      <c r="M410" s="62"/>
      <c r="N410" s="228"/>
    </row>
    <row r="411" spans="13:14" x14ac:dyDescent="0.25">
      <c r="M411" s="62"/>
      <c r="N411" s="228"/>
    </row>
    <row r="412" spans="13:14" x14ac:dyDescent="0.25">
      <c r="M412" s="62"/>
      <c r="N412" s="228"/>
    </row>
    <row r="413" spans="13:14" x14ac:dyDescent="0.25">
      <c r="M413" s="62"/>
      <c r="N413" s="228"/>
    </row>
    <row r="414" spans="13:14" x14ac:dyDescent="0.25">
      <c r="M414" s="62"/>
      <c r="N414" s="228"/>
    </row>
  </sheetData>
  <mergeCells count="59">
    <mergeCell ref="A360:A365"/>
    <mergeCell ref="A377:A378"/>
    <mergeCell ref="A366:A371"/>
    <mergeCell ref="A375:A376"/>
    <mergeCell ref="A348:A359"/>
    <mergeCell ref="A372:A374"/>
    <mergeCell ref="A242:A244"/>
    <mergeCell ref="A217:A222"/>
    <mergeCell ref="A316:A317"/>
    <mergeCell ref="A336:N336"/>
    <mergeCell ref="D386:E386"/>
    <mergeCell ref="D384:E384"/>
    <mergeCell ref="D385:E385"/>
    <mergeCell ref="D383:E383"/>
    <mergeCell ref="A320:N320"/>
    <mergeCell ref="A335:N335"/>
    <mergeCell ref="M386:O386"/>
    <mergeCell ref="A321:A334"/>
    <mergeCell ref="A318:A319"/>
    <mergeCell ref="A337:A339"/>
    <mergeCell ref="A340:A341"/>
    <mergeCell ref="A345:A347"/>
    <mergeCell ref="A314:N314"/>
    <mergeCell ref="A315:N315"/>
    <mergeCell ref="A285:A304"/>
    <mergeCell ref="A305:A307"/>
    <mergeCell ref="A246:A282"/>
    <mergeCell ref="A309:A313"/>
    <mergeCell ref="A283:A284"/>
    <mergeCell ref="A69:A75"/>
    <mergeCell ref="A58:A68"/>
    <mergeCell ref="A245:N245"/>
    <mergeCell ref="A9:A34"/>
    <mergeCell ref="A140:A148"/>
    <mergeCell ref="A149:A175"/>
    <mergeCell ref="A79:A139"/>
    <mergeCell ref="A176:A181"/>
    <mergeCell ref="A182:A184"/>
    <mergeCell ref="A185:A190"/>
    <mergeCell ref="A191:A193"/>
    <mergeCell ref="A194:A216"/>
    <mergeCell ref="A223:A231"/>
    <mergeCell ref="A232:A237"/>
    <mergeCell ref="A238:A241"/>
    <mergeCell ref="A76:A78"/>
    <mergeCell ref="A35:A57"/>
    <mergeCell ref="A7:N7"/>
    <mergeCell ref="A8:N8"/>
    <mergeCell ref="A1:S1"/>
    <mergeCell ref="A2:G2"/>
    <mergeCell ref="A3:A5"/>
    <mergeCell ref="S4:T4"/>
    <mergeCell ref="O3:T3"/>
    <mergeCell ref="O4:P4"/>
    <mergeCell ref="E4:G4"/>
    <mergeCell ref="B4:D4"/>
    <mergeCell ref="K3:N4"/>
    <mergeCell ref="B3:J3"/>
    <mergeCell ref="H4:J4"/>
  </mergeCells>
  <printOptions horizontalCentered="1"/>
  <pageMargins left="0.19685039370078741" right="0.19685039370078741" top="0.9055118110236221" bottom="0.43307086614173229" header="0.15748031496062992" footer="0.15748031496062992"/>
  <pageSetup paperSize="8" scale="87" fitToHeight="0" orientation="landscape" errors="blank"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7"/>
    <Parameter Name="ReportMode" Type="System.Int32" Value="7"/>
  </Parameters>
</MailMerge>
</file>

<file path=customXml/itemProps1.xml><?xml version="1.0" encoding="utf-8"?>
<ds:datastoreItem xmlns:ds="http://schemas.openxmlformats.org/officeDocument/2006/customXml" ds:itemID="{A39C63F0-7DCF-46B8-9646-A816F44DAA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Муницип</vt:lpstr>
      <vt:lpstr>Муницип!Заголовки_для_печати</vt:lpstr>
      <vt:lpstr>Муницип!Область_печати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Мышачков ДА</cp:lastModifiedBy>
  <cp:lastPrinted>2017-11-14T15:37:46Z</cp:lastPrinted>
  <dcterms:created xsi:type="dcterms:W3CDTF">2016-05-06T11:31:42Z</dcterms:created>
  <dcterms:modified xsi:type="dcterms:W3CDTF">2017-11-27T07:02:01Z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Name">
    <vt:lpwstr>C:\inetpub\wwwroot\svod-smart\temp\ReportManager\rro_2015_tipinformaciiutochnyonnij_web_0_44.xls</vt:lpwstr>
  </property>
</Properties>
</file>