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540" windowWidth="1980" windowHeight="1245"/>
  </bookViews>
  <sheets>
    <sheet name="Муницип" sheetId="2" r:id="rId1"/>
  </sheets>
  <definedNames>
    <definedName name="_xlnm.Print_Titles" localSheetId="0">Муницип!$4:$7</definedName>
    <definedName name="_xlnm.Print_Area" localSheetId="0">Муницип!$A$1:$T$335</definedName>
  </definedNames>
  <calcPr calcId="144525"/>
</workbook>
</file>

<file path=xl/calcChain.xml><?xml version="1.0" encoding="utf-8"?>
<calcChain xmlns="http://schemas.openxmlformats.org/spreadsheetml/2006/main">
  <c r="R242" i="2" l="1"/>
  <c r="Q242" i="2"/>
  <c r="T241" i="2"/>
  <c r="S241" i="2"/>
  <c r="R241" i="2"/>
  <c r="Q241" i="2"/>
  <c r="R240" i="2"/>
  <c r="Q240" i="2"/>
  <c r="T239" i="2"/>
  <c r="S239" i="2"/>
  <c r="R239" i="2"/>
  <c r="Q239" i="2"/>
  <c r="P239" i="2"/>
  <c r="O239" i="2"/>
  <c r="R245" i="2"/>
  <c r="Q245" i="2"/>
  <c r="T244" i="2"/>
  <c r="S244" i="2"/>
  <c r="R244" i="2"/>
  <c r="Q244" i="2"/>
  <c r="T250" i="2"/>
  <c r="S250" i="2"/>
  <c r="R250" i="2"/>
  <c r="Q250" i="2"/>
  <c r="T242" i="2"/>
  <c r="S242" i="2"/>
  <c r="T240" i="2"/>
  <c r="S240" i="2"/>
  <c r="P240" i="2"/>
  <c r="O240" i="2"/>
  <c r="T238" i="2"/>
  <c r="S238" i="2"/>
  <c r="R238" i="2"/>
  <c r="Q238" i="2"/>
  <c r="O238" i="2"/>
  <c r="T209" i="2" l="1"/>
  <c r="S209" i="2"/>
  <c r="T227" i="2"/>
  <c r="S227" i="2"/>
  <c r="R227" i="2"/>
  <c r="T221" i="2"/>
  <c r="S221" i="2"/>
  <c r="R221" i="2"/>
  <c r="O279" i="2" l="1"/>
  <c r="P281" i="2"/>
  <c r="P280" i="2"/>
  <c r="P178" i="2"/>
  <c r="Q178" i="2"/>
  <c r="R178" i="2"/>
  <c r="S178" i="2"/>
  <c r="T178" i="2"/>
  <c r="O178" i="2"/>
  <c r="R298" i="2" l="1"/>
  <c r="R297" i="2" s="1"/>
  <c r="S142" i="2"/>
  <c r="S30" i="2"/>
  <c r="T217" i="2" l="1"/>
  <c r="S217" i="2"/>
  <c r="T214" i="2"/>
  <c r="S214" i="2"/>
  <c r="T213" i="2"/>
  <c r="S213" i="2"/>
  <c r="T21" i="2"/>
  <c r="S21" i="2"/>
  <c r="T15" i="2"/>
  <c r="S15" i="2"/>
  <c r="T13" i="2"/>
  <c r="S13" i="2"/>
  <c r="T12" i="2"/>
  <c r="S12" i="2"/>
  <c r="T31" i="2"/>
  <c r="S31" i="2"/>
  <c r="T30" i="2"/>
  <c r="T212" i="2"/>
  <c r="S212" i="2"/>
  <c r="T277" i="2"/>
  <c r="S277" i="2"/>
  <c r="T11" i="2"/>
  <c r="S11" i="2"/>
  <c r="R11" i="2"/>
  <c r="T323" i="2"/>
  <c r="S323" i="2"/>
  <c r="R323" i="2"/>
  <c r="Q227" i="2" l="1"/>
  <c r="R205" i="2" l="1"/>
  <c r="R212" i="2"/>
  <c r="R31" i="2"/>
  <c r="R30" i="2"/>
  <c r="R217" i="2"/>
  <c r="R214" i="2"/>
  <c r="R213" i="2"/>
  <c r="R157" i="2"/>
  <c r="R265" i="2"/>
  <c r="R155" i="2"/>
  <c r="R152" i="2"/>
  <c r="R161" i="2"/>
  <c r="R211" i="2"/>
  <c r="R18" i="2"/>
  <c r="R15" i="2"/>
  <c r="R13" i="2"/>
  <c r="R12" i="2"/>
  <c r="R208" i="2"/>
  <c r="R277" i="2"/>
  <c r="R150" i="2"/>
  <c r="R310" i="2"/>
  <c r="O298" i="2"/>
  <c r="R202" i="2"/>
  <c r="R193" i="2"/>
  <c r="R44" i="2"/>
  <c r="R188" i="2"/>
  <c r="R187" i="2"/>
  <c r="R186" i="2"/>
  <c r="R236" i="2"/>
  <c r="P298" i="2" l="1"/>
  <c r="Q298" i="2"/>
  <c r="S298" i="2"/>
  <c r="T298" i="2"/>
  <c r="O297" i="2"/>
  <c r="Q11" i="2" l="1"/>
  <c r="Q320" i="2" l="1"/>
  <c r="Q306" i="2" s="1"/>
  <c r="P320" i="2"/>
  <c r="P306" i="2" s="1"/>
  <c r="O320" i="2"/>
  <c r="O306" i="2" s="1"/>
  <c r="P159" i="2"/>
  <c r="R159" i="2"/>
  <c r="O159" i="2"/>
  <c r="R306" i="2"/>
  <c r="S306" i="2"/>
  <c r="T306" i="2"/>
  <c r="P184" i="2"/>
  <c r="Q184" i="2"/>
  <c r="R184" i="2"/>
  <c r="S184" i="2"/>
  <c r="T184" i="2"/>
  <c r="O184" i="2"/>
  <c r="R321" i="2"/>
  <c r="S321" i="2"/>
  <c r="T321" i="2"/>
  <c r="O321" i="2"/>
  <c r="Q321" i="2"/>
  <c r="P321" i="2"/>
  <c r="P262" i="2"/>
  <c r="Q262" i="2"/>
  <c r="R262" i="2"/>
  <c r="O262" i="2"/>
  <c r="P286" i="2"/>
  <c r="Q286" i="2"/>
  <c r="R286" i="2"/>
  <c r="S286" i="2"/>
  <c r="T286" i="2"/>
  <c r="O286" i="2"/>
  <c r="P142" i="2"/>
  <c r="Q142" i="2"/>
  <c r="R142" i="2"/>
  <c r="T142" i="2"/>
  <c r="O142" i="2"/>
  <c r="T251" i="2"/>
  <c r="S251" i="2"/>
  <c r="R251" i="2"/>
  <c r="Q251" i="2"/>
  <c r="T248" i="2"/>
  <c r="S248" i="2"/>
  <c r="R248" i="2"/>
  <c r="Q248" i="2"/>
  <c r="P248" i="2"/>
  <c r="O248" i="2"/>
  <c r="T247" i="2"/>
  <c r="S247" i="2"/>
  <c r="R247" i="2"/>
  <c r="Q247" i="2"/>
  <c r="P247" i="2"/>
  <c r="O247" i="2"/>
  <c r="P250" i="2"/>
  <c r="O250" i="2"/>
  <c r="T235" i="2"/>
  <c r="S235" i="2"/>
  <c r="R235" i="2"/>
  <c r="Q235" i="2"/>
  <c r="T233" i="2"/>
  <c r="S233" i="2"/>
  <c r="R233" i="2"/>
  <c r="Q233" i="2"/>
  <c r="P233" i="2"/>
  <c r="O233" i="2"/>
  <c r="P227" i="2"/>
  <c r="O227" i="2"/>
  <c r="P198" i="2"/>
  <c r="Q198" i="2"/>
  <c r="R198" i="2"/>
  <c r="S198" i="2"/>
  <c r="T198" i="2"/>
  <c r="O198" i="2"/>
  <c r="P192" i="2"/>
  <c r="Q192" i="2"/>
  <c r="R192" i="2"/>
  <c r="S192" i="2"/>
  <c r="T192" i="2"/>
  <c r="O192" i="2"/>
  <c r="O10" i="2"/>
  <c r="O23" i="2"/>
  <c r="O36" i="2"/>
  <c r="O47" i="2"/>
  <c r="O46" i="2" s="1"/>
  <c r="O51" i="2"/>
  <c r="O83" i="2"/>
  <c r="O89" i="2"/>
  <c r="O110" i="2"/>
  <c r="O127" i="2"/>
  <c r="O133" i="2"/>
  <c r="O141" i="2"/>
  <c r="O148" i="2"/>
  <c r="O151" i="2"/>
  <c r="P148" i="2"/>
  <c r="Q148" i="2"/>
  <c r="R148" i="2"/>
  <c r="S148" i="2"/>
  <c r="T148" i="2"/>
  <c r="P36" i="2"/>
  <c r="R36" i="2"/>
  <c r="S36" i="2"/>
  <c r="T36" i="2"/>
  <c r="P207" i="2" l="1"/>
  <c r="Q207" i="2"/>
  <c r="O207" i="2"/>
  <c r="R207" i="2"/>
  <c r="O305" i="2"/>
  <c r="O119" i="2"/>
  <c r="O54" i="2"/>
  <c r="T207" i="2"/>
  <c r="S207" i="2"/>
  <c r="P283" i="2" l="1"/>
  <c r="Q283" i="2"/>
  <c r="R283" i="2"/>
  <c r="S283" i="2"/>
  <c r="T283" i="2"/>
  <c r="O283" i="2"/>
  <c r="Q279" i="2"/>
  <c r="R279" i="2"/>
  <c r="S279" i="2"/>
  <c r="T279" i="2"/>
  <c r="Q203" i="2"/>
  <c r="R203" i="2"/>
  <c r="S203" i="2"/>
  <c r="T203" i="2"/>
  <c r="O203" i="2"/>
  <c r="P205" i="2"/>
  <c r="P204" i="2"/>
  <c r="P34" i="2"/>
  <c r="P23" i="2" s="1"/>
  <c r="T29" i="2"/>
  <c r="T23" i="2" s="1"/>
  <c r="S29" i="2"/>
  <c r="S23" i="2" s="1"/>
  <c r="R29" i="2"/>
  <c r="R23" i="2" s="1"/>
  <c r="Q29" i="2"/>
  <c r="Q23" i="2" s="1"/>
  <c r="P203" i="2" l="1"/>
  <c r="P279" i="2"/>
  <c r="P290" i="2"/>
  <c r="R290" i="2"/>
  <c r="S290" i="2"/>
  <c r="T290" i="2"/>
  <c r="O290" i="2"/>
  <c r="Q294" i="2"/>
  <c r="Q293" i="2"/>
  <c r="Q292" i="2"/>
  <c r="Q291" i="2"/>
  <c r="S264" i="2"/>
  <c r="T264" i="2" s="1"/>
  <c r="S263" i="2"/>
  <c r="Q175" i="2"/>
  <c r="Q173" i="2"/>
  <c r="T172" i="2"/>
  <c r="Q172" i="2"/>
  <c r="Q171" i="2"/>
  <c r="Q169" i="2"/>
  <c r="Q166" i="2"/>
  <c r="T165" i="2"/>
  <c r="S164" i="2"/>
  <c r="T164" i="2" s="1"/>
  <c r="S163" i="2"/>
  <c r="T163" i="2" s="1"/>
  <c r="S162" i="2"/>
  <c r="T162" i="2" s="1"/>
  <c r="T157" i="2"/>
  <c r="P157" i="2"/>
  <c r="O157" i="2"/>
  <c r="O9" i="2" s="1"/>
  <c r="T151" i="2"/>
  <c r="P151" i="2"/>
  <c r="Q151" i="2"/>
  <c r="R151" i="2"/>
  <c r="S151" i="2"/>
  <c r="P51" i="2"/>
  <c r="Q51" i="2"/>
  <c r="R51" i="2"/>
  <c r="S51" i="2"/>
  <c r="T51" i="2"/>
  <c r="S159" i="2" l="1"/>
  <c r="Q159" i="2"/>
  <c r="T263" i="2"/>
  <c r="T262" i="2" s="1"/>
  <c r="S262" i="2"/>
  <c r="T159" i="2"/>
  <c r="Q290" i="2"/>
  <c r="R46" i="2" l="1"/>
  <c r="S46" i="2"/>
  <c r="T46" i="2"/>
  <c r="Q47" i="2"/>
  <c r="Q46" i="2" s="1"/>
  <c r="P47" i="2"/>
  <c r="P46" i="2" s="1"/>
  <c r="Q39" i="2"/>
  <c r="Q36" i="2" s="1"/>
  <c r="P297" i="2" l="1"/>
  <c r="Q297" i="2"/>
  <c r="S297" i="2"/>
  <c r="T297" i="2"/>
  <c r="O296" i="2"/>
  <c r="T133" i="2"/>
  <c r="T119" i="2" s="1"/>
  <c r="S133" i="2"/>
  <c r="S119" i="2" s="1"/>
  <c r="R133" i="2"/>
  <c r="R119" i="2" s="1"/>
  <c r="Q133" i="2"/>
  <c r="P133" i="2"/>
  <c r="P141" i="2"/>
  <c r="T83" i="2"/>
  <c r="S83" i="2"/>
  <c r="R83" i="2"/>
  <c r="Q83" i="2"/>
  <c r="P83" i="2"/>
  <c r="Q127" i="2"/>
  <c r="P127" i="2"/>
  <c r="P110" i="2"/>
  <c r="Q110" i="2"/>
  <c r="R110" i="2"/>
  <c r="S110" i="2"/>
  <c r="T110" i="2"/>
  <c r="Q119" i="2" l="1"/>
  <c r="P119" i="2"/>
  <c r="P89" i="2" l="1"/>
  <c r="P54" i="2" s="1"/>
  <c r="Q91" i="2"/>
  <c r="T79" i="2"/>
  <c r="S79" i="2"/>
  <c r="R79" i="2"/>
  <c r="Q79" i="2"/>
  <c r="T78" i="2"/>
  <c r="S78" i="2"/>
  <c r="R78" i="2"/>
  <c r="Q78" i="2"/>
  <c r="T77" i="2"/>
  <c r="S77" i="2"/>
  <c r="R77" i="2"/>
  <c r="R54" i="2" s="1"/>
  <c r="Q77" i="2"/>
  <c r="Q54" i="2" s="1"/>
  <c r="S54" i="2" l="1"/>
  <c r="T54" i="2"/>
  <c r="P206" i="2"/>
  <c r="Q206" i="2"/>
  <c r="R206" i="2"/>
  <c r="S206" i="2"/>
  <c r="T206" i="2"/>
  <c r="O206" i="2"/>
  <c r="O8" i="2" s="1"/>
  <c r="P10" i="2"/>
  <c r="P9" i="2" s="1"/>
  <c r="Q10" i="2"/>
  <c r="Q9" i="2" s="1"/>
  <c r="R10" i="2"/>
  <c r="R9" i="2" s="1"/>
  <c r="S10" i="2"/>
  <c r="S9" i="2" s="1"/>
  <c r="T10" i="2"/>
  <c r="T9" i="2" s="1"/>
  <c r="T305" i="2" l="1"/>
  <c r="T296" i="2" s="1"/>
  <c r="T8" i="2" s="1"/>
  <c r="S305" i="2"/>
  <c r="S296" i="2" s="1"/>
  <c r="S8" i="2" s="1"/>
  <c r="P305" i="2"/>
  <c r="P296" i="2" s="1"/>
  <c r="P8" i="2" s="1"/>
  <c r="R305" i="2"/>
  <c r="Q305" i="2"/>
  <c r="Q296" i="2" s="1"/>
  <c r="Q8" i="2" s="1"/>
  <c r="R296" i="2" l="1"/>
  <c r="R8" i="2" s="1"/>
</calcChain>
</file>

<file path=xl/sharedStrings.xml><?xml version="1.0" encoding="utf-8"?>
<sst xmlns="http://schemas.openxmlformats.org/spreadsheetml/2006/main" count="1764" uniqueCount="554">
  <si>
    <t xml:space="preserve">Код расхода по БК </t>
  </si>
  <si>
    <t>Объем средств на исполнение расходного обязательства</t>
  </si>
  <si>
    <t>Российской Федерации</t>
  </si>
  <si>
    <t>субъекта Российской Федерации</t>
  </si>
  <si>
    <t>текущий</t>
  </si>
  <si>
    <t>очередной</t>
  </si>
  <si>
    <t>плановый период</t>
  </si>
  <si>
    <t>раздел</t>
  </si>
  <si>
    <t>по плану</t>
  </si>
  <si>
    <t>(подпись)</t>
  </si>
  <si>
    <t>(расшифровка подписи)</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</si>
  <si>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</si>
  <si>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</si>
  <si>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</si>
  <si>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2.1.5.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</si>
  <si>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2.1.6.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</si>
  <si>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2.1.16.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</si>
  <si>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2.1.22.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</si>
  <si>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12</t>
  </si>
  <si>
    <t>2.1.28. 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</si>
  <si>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2.1.32.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</si>
  <si>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2.1.37. 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</si>
  <si>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2.1.3. владение, пользование и распоряжение имуществом, находящимся в муниципальной собственности городского округа</t>
  </si>
  <si>
    <t>2.1.7.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</si>
  <si>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2.1.19. организация библиотечного обслуживания населения, комплектование и обеспечение сохранности библиотечных фондов библиотек городского округа</t>
  </si>
  <si>
    <t>2.1.20. создание условий для организации досуга и обеспечения жителей городского округа услугами организаций культуры</t>
  </si>
  <si>
    <t>2.1.23. обеспечение условий для развития на территории городского округа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округа</t>
  </si>
  <si>
    <t>2.1.26. организация ритуальных услуг и содержание мест захоронения</t>
  </si>
  <si>
    <t>2.1.27.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t>
  </si>
  <si>
    <t>2.1.38. организация и осуществление мероприятий по работе с детьми и молодежью в городском округе</t>
  </si>
  <si>
    <t>2.1.44. 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</si>
  <si>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</si>
  <si>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2.2.1. функционирование органов местного самоуправления</t>
  </si>
  <si>
    <t>2.2.10.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</si>
  <si>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2.2.13.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</si>
  <si>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2.2.16.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</si>
  <si>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2.2.2. финансирование муниципальных учреждений</t>
  </si>
  <si>
    <t>2.2.8. полномочиями по организации теплоснабжения, предусмотренными Федеральным законом «О теплоснабжении»</t>
  </si>
  <si>
    <t>2.2.9. полномочиями в сфере водоснабжения и водоотведения, предусмотренными Федеральным законом «О водоснабжении и водоотведении»</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</si>
  <si>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 на решение вопросов, не отнесенных к вопросам местного значения городского округа, всего</t>
  </si>
  <si>
    <t>2.3.1.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</si>
  <si>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2.3.1.1. создание музеев городского округа</t>
  </si>
  <si>
    <t>2.3.1.13. осуществление мероприятий по отлову и содержанию безнадзорных животных, обитающих на территории городского округа</t>
  </si>
  <si>
    <t>2.3.3.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</si>
  <si>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2.3.3.1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</si>
  <si>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</si>
  <si>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2.4.2. за счет собственных доходов и источников финансирования дефицита бюджета городского округа, всего</t>
  </si>
  <si>
    <t xml:space="preserve">                             (должность)</t>
  </si>
  <si>
    <t>целевая статья</t>
  </si>
  <si>
    <t>муниципального образования</t>
  </si>
  <si>
    <t>номер статьи (подстатьи), пункта (подпункта)</t>
  </si>
  <si>
    <t>дата вступления в силу, срок действия</t>
  </si>
  <si>
    <t xml:space="preserve">  Правовое основание финансового обеспечения и расходования средств                                                                                                                                                                                                    (нормативные правовые акты, договоры, соглашения)</t>
  </si>
  <si>
    <t>Единица измерения: рубли</t>
  </si>
  <si>
    <t>наименование, номер и дата</t>
  </si>
  <si>
    <t>Наименование расходного обязательства, вопроса местного значения, полномочия, права  муниципального образования *</t>
  </si>
  <si>
    <t>вид расхода</t>
  </si>
  <si>
    <t>Федеральный закон от 06.10.2003 № 131-ФЗ "Об общих принципах организации местного самоуправления в Российской Федерации"</t>
  </si>
  <si>
    <t>в целом</t>
  </si>
  <si>
    <t>02.03.2007-не установлен</t>
  </si>
  <si>
    <t>подп. 1, п. 1, ст. 16</t>
  </si>
  <si>
    <t>06.10.2003-не установлен</t>
  </si>
  <si>
    <t>подп. 3, п. 1, ст. 16</t>
  </si>
  <si>
    <t>Федеральный закон от 07.12.2011 № 416-ФЗ "О водоснабжении и водоотведении"</t>
  </si>
  <si>
    <t>01.01.2013-не установлен</t>
  </si>
  <si>
    <t>Федеральный закон от 05.08.2000 № 117-ФЗ налоговый Кодекс Российской Федерации (часть вторая)"</t>
  </si>
  <si>
    <t>не установлен-не установлен</t>
  </si>
  <si>
    <t>Федеральный закон от 30.12.2001 № 197-ФЗ "Трудовой кодекс Российской Федерации"</t>
  </si>
  <si>
    <t>01.02.2002-не установлен</t>
  </si>
  <si>
    <t>Федеральный закон от 24.07.2009 № 212-ФЗ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t>
  </si>
  <si>
    <t>ст. 12</t>
  </si>
  <si>
    <t>24.07.2009-не установлен</t>
  </si>
  <si>
    <t>подп. 5, п. 1, ст. 16</t>
  </si>
  <si>
    <t>Закон Мурманской области от 11.09.2011 № 1390-01-ЗМО "О Дорожном фонде"</t>
  </si>
  <si>
    <t>01.02.2012-не установлен</t>
  </si>
  <si>
    <t>подп. 6, п. 1, ст. 16</t>
  </si>
  <si>
    <t>Закон Мурманской области от 18.12.2012 № 1553-01-ЗМО "О муниципальном жилищном контроле и взаимодействии органов муниципального жилищного контроля с органом государственного жилищного надзора Мурманской области"</t>
  </si>
  <si>
    <t>ст. 3</t>
  </si>
  <si>
    <t>05.01.2013-не установлен</t>
  </si>
  <si>
    <t>Постановление Правительства Российской Федерации от 13.08.2006 № 491 "Постановление правительства Российской Федерации от 13.08.2006 №491 Об утверждении правил содержания общего имущества в многоквартирном доме и правил изменения размера платы за содержание и ремонт жилого помещения в случае оказания услуг и выполнения работ по управлению,содержанию и ремонту общего имущества в многоквартирном доме ненадлежащего качесива и (или) с перерывами, превышающими установленную продолжительность"</t>
  </si>
  <si>
    <t>подп. 7, п. 1, ст. 16</t>
  </si>
  <si>
    <t>Закон Мурманской области от 13.07.2009 № 1133-01-ЗМО "Об организации транспортного обслуживания населения на территории Мурманской области"</t>
  </si>
  <si>
    <t>21.07.2009-не установлен</t>
  </si>
  <si>
    <t>подп. 13, п. 1, ст. 16</t>
  </si>
  <si>
    <t>Закон Российской Федерации от 19.02.1993 № 4520-1 "О государственных гарантиях и компенсациях для лиц, работающих и проживающих в районах Крайнего Севера и приравненных к ним местностях"</t>
  </si>
  <si>
    <t>01.06.1993-не установлен</t>
  </si>
  <si>
    <t>Закон Мурманской области от 29.12.2004 № 579-01-ЗМО "О государственных гарантиях и компенсациях, правовое регулирование которых отнесено к полномочиям органов государственной власти Мурманской области, для лиц, работающих и проживающих в районах Крайнего Севера"</t>
  </si>
  <si>
    <t>30.12.2004-не установлен</t>
  </si>
  <si>
    <t>Федеральный закон от 29.12.2012 № 273-ФЗ "Об образовании в Российской Федерации"</t>
  </si>
  <si>
    <t>30.12.2012-не установлен</t>
  </si>
  <si>
    <t>Постановление Правительства МО от 30.09.2011 № 481-ПП "Развитие образования" на 2014-2016 годы""</t>
  </si>
  <si>
    <t>01.01.2012-не установлен</t>
  </si>
  <si>
    <t>Закон Мурманской области от 29.06.2007 № 860-01-ЗМО "О муниципальной службе в Мурманской области"</t>
  </si>
  <si>
    <t>абз. в целом</t>
  </si>
  <si>
    <t>01.07.2007-не установлен</t>
  </si>
  <si>
    <t>подп. 16, п. 1, ст. 16</t>
  </si>
  <si>
    <t>Федеральный закон от 29.12.1994 № 78-ФЗ "О библиотечном деле"</t>
  </si>
  <si>
    <t>п. 2, ст. 15</t>
  </si>
  <si>
    <t>02.01.1995-не установлен</t>
  </si>
  <si>
    <t>Закон Мурманской области от 21.11.1997 № 83-01-ЗМО "О библиотечном деле в Мурманской области"</t>
  </si>
  <si>
    <t>ст. 14.3</t>
  </si>
  <si>
    <t>09.12.1997-не установлен</t>
  </si>
  <si>
    <t>подп. 17, п. 1, ст. 16</t>
  </si>
  <si>
    <t>Закон Мурманской области от 04.05.2000 № 194-01-ЗМО "О культуре"</t>
  </si>
  <si>
    <t>16.05.2000-не установлен</t>
  </si>
  <si>
    <t>Федеральный закон от 09.10.1992 № 3612-01 "Основы законодательства Российской Федерации о культуре"</t>
  </si>
  <si>
    <t>17.11.1992-не установлен</t>
  </si>
  <si>
    <t/>
  </si>
  <si>
    <t>подп. 18, п. 1, ст. 16</t>
  </si>
  <si>
    <t>Закон Мурманской области от 26.10.2006 № 801-01-ЗМО ""Об объектах культурного наследия (памятники истории и культуры) в Мурманской области"</t>
  </si>
  <si>
    <t>02.11.2006-не установлен</t>
  </si>
  <si>
    <t>подп. 19, п. 1, ст. 16</t>
  </si>
  <si>
    <t>Федеральный закон от 04.12.2007 № №329-ФЗ "О физической культуре и спорте в РФ"</t>
  </si>
  <si>
    <t>04.12.2007-не установлен</t>
  </si>
  <si>
    <t>подп. 23, п. 1, ст. 16</t>
  </si>
  <si>
    <t>Федеральный закон от 10.01.2001 № 7-ФЗ "Об охране окружающей среды"</t>
  </si>
  <si>
    <t>ст. 11</t>
  </si>
  <si>
    <t>12.01.2002-не установлен</t>
  </si>
  <si>
    <t>подп. 25, п. 1, ст. 16</t>
  </si>
  <si>
    <t>подп. 28, п. 1, ст. 16</t>
  </si>
  <si>
    <t>Закон Мурманской области от 29.12.2004 № 585-01-ЗМО "О защите населения и территорий Мурманской области от чрезвычайных ситуаций природного и техногенного характера"</t>
  </si>
  <si>
    <t>ст. 10</t>
  </si>
  <si>
    <t>01.01.2005-не установлен</t>
  </si>
  <si>
    <t>Федеральный закон от 26.12.1997 № 28-ФЗ "О гражданской обороне"</t>
  </si>
  <si>
    <t>12.02.1998-не установлен</t>
  </si>
  <si>
    <t>подп. 33, п. 1, ст. 16</t>
  </si>
  <si>
    <t>Закон Мурманской области от 13.10.2011 № 1395-01-ЗМО "О некоторых вопросах в области регулирования торговой деятельности на территории Мурманской области"</t>
  </si>
  <si>
    <t>18.10.2011-не установлен</t>
  </si>
  <si>
    <t>подп. 34, п. 1, ст. 16</t>
  </si>
  <si>
    <t>Закон Мурманской области от 17.05.1999 № 148-01-ЗМО "О государственной поддержке молодежных и детских общественных объединений Мурманской области"</t>
  </si>
  <si>
    <t>26.05.1999-не установлен</t>
  </si>
  <si>
    <t>подп. 9, п. 1, ст. 17</t>
  </si>
  <si>
    <t>08.10.2003-не установлен</t>
  </si>
  <si>
    <t>ст. 325</t>
  </si>
  <si>
    <t>подп. 3, п. 1, ст. 17</t>
  </si>
  <si>
    <t>Федеральный закон от 27.07.2010 № 190-ФЗ "О теплоснабжении"</t>
  </si>
  <si>
    <t>30.07.2010-не установлен</t>
  </si>
  <si>
    <t>подп. 5, п. 1, ст. 17</t>
  </si>
  <si>
    <t>подп. 7, п. 1, ст. 17</t>
  </si>
  <si>
    <t>Федеральный закон от 27.12.1991 № 2124-1 "О средствах массовой информации"</t>
  </si>
  <si>
    <t>08.02.1992-не установлен</t>
  </si>
  <si>
    <t>подп. 8.2, п. 1, ст. 17</t>
  </si>
  <si>
    <t>Федеральный закон от 23.11.2009 № 261-ФЗ "Об энегосбережении и повышении энергетической эффективности и о внесении изменений в Федеральные законодательные акты Российской Федерации"</t>
  </si>
  <si>
    <t>27.11.2009-не установлен</t>
  </si>
  <si>
    <t>Постановление Правительства МО от 27.07.2010 № 340-ПП/12 "Энергосбережение и повышение энергетической эффективности в Мурманской области на 2010 - 2015 годы и на перспективу до 2020 года"</t>
  </si>
  <si>
    <t>01.01.2000-не установлен</t>
  </si>
  <si>
    <t>подп. 1, п. 1, ст. 16.1</t>
  </si>
  <si>
    <t>подп. 15, п. 1, ст. 16.1</t>
  </si>
  <si>
    <t>Закон Мурманской области от 13.11.2003 № 432-01-ЗМО "О содержании животных"</t>
  </si>
  <si>
    <t>2.5. Расходные обязательства за счет субвенций, предоставленных из федерального бюджета или бюджета субъекта Российской Федерации</t>
  </si>
  <si>
    <t xml:space="preserve">РЕЕСТР РАСХОДНЫХ ОБЯЗАТЕЛЬСТВ МУНИЦИПАЛЬНОГО ОБРАЗОВАНИЯ ЗАТО г.СЕВЕРОМОРСК </t>
  </si>
  <si>
    <t>Решение Совета депутатов муниципального образования ЗАТО г. Североморск от 09.03.2010 № 593 "Об утверждении положения о денежном содержании муниципальных служащих ЗАТО г. Североморск"</t>
  </si>
  <si>
    <t>01</t>
  </si>
  <si>
    <t>04</t>
  </si>
  <si>
    <t>0710106010</t>
  </si>
  <si>
    <t>100</t>
  </si>
  <si>
    <t>отчетный  2015 г.</t>
  </si>
  <si>
    <t>2017 г.</t>
  </si>
  <si>
    <t>2018 г.</t>
  </si>
  <si>
    <t>2019 г.</t>
  </si>
  <si>
    <t>13</t>
  </si>
  <si>
    <t>03201М2400</t>
  </si>
  <si>
    <t>200</t>
  </si>
  <si>
    <t>03202М2400</t>
  </si>
  <si>
    <t>03204М2400</t>
  </si>
  <si>
    <t>03205М2400</t>
  </si>
  <si>
    <t>03301М2110</t>
  </si>
  <si>
    <t>03301М2120</t>
  </si>
  <si>
    <t>0330313060</t>
  </si>
  <si>
    <t>03303М2990</t>
  </si>
  <si>
    <t>800</t>
  </si>
  <si>
    <t>Постановление администрации ЗАТО г. Североморск от 24.10.2013 № 1088 «Об утверждении муниципальной программы «Развитие муниципального управления и гражданского общества» на 2014-2020 годы</t>
  </si>
  <si>
    <t>Решение городского Совета ЗАТО г. Североморск от 14.03.2005 № 15 "О гарантиях и компенсациях гражданам в связи с работой и проживанием в экстремальных природно-климатических условиях Севера"</t>
  </si>
  <si>
    <t xml:space="preserve">Решение городского Совета ЗАТО г. Североморск от 14.03.2005 № 15 "О гарантиях и компенсациях гражданам в связи с работой и проживанием в экстремальных природно-климатических условиях Севера"
</t>
  </si>
  <si>
    <t>9020008400</t>
  </si>
  <si>
    <t>11</t>
  </si>
  <si>
    <t>90200М9130</t>
  </si>
  <si>
    <t>01401М8800</t>
  </si>
  <si>
    <t>700</t>
  </si>
  <si>
    <t>90200М9100</t>
  </si>
  <si>
    <t>07</t>
  </si>
  <si>
    <t>0510113060</t>
  </si>
  <si>
    <t>05101S1030</t>
  </si>
  <si>
    <t>05101М0050</t>
  </si>
  <si>
    <t>90200S4000</t>
  </si>
  <si>
    <t>9729904</t>
  </si>
  <si>
    <t>02</t>
  </si>
  <si>
    <t>05101М0060</t>
  </si>
  <si>
    <t>05101М0070</t>
  </si>
  <si>
    <t>05101М0080</t>
  </si>
  <si>
    <t>9729906</t>
  </si>
  <si>
    <t>05101М1200</t>
  </si>
  <si>
    <t>05102М1270</t>
  </si>
  <si>
    <t>05102М1700</t>
  </si>
  <si>
    <t>05201S1040</t>
  </si>
  <si>
    <t>03</t>
  </si>
  <si>
    <t>05401М2240</t>
  </si>
  <si>
    <t>05401S1050</t>
  </si>
  <si>
    <t>05401М1250</t>
  </si>
  <si>
    <t>09</t>
  </si>
  <si>
    <t>0190005</t>
  </si>
  <si>
    <t>0320005</t>
  </si>
  <si>
    <t>0320905</t>
  </si>
  <si>
    <t>05102L0970</t>
  </si>
  <si>
    <t>05102М1100</t>
  </si>
  <si>
    <t>05102М1220</t>
  </si>
  <si>
    <t>0512107</t>
  </si>
  <si>
    <t>0512703</t>
  </si>
  <si>
    <t>05102М1260</t>
  </si>
  <si>
    <t>0510313060</t>
  </si>
  <si>
    <t>05103М0090</t>
  </si>
  <si>
    <t>05103М0100</t>
  </si>
  <si>
    <t>05103М0110</t>
  </si>
  <si>
    <t>0520113060</t>
  </si>
  <si>
    <t>05201М0180</t>
  </si>
  <si>
    <t>9729907</t>
  </si>
  <si>
    <t>01502М2990</t>
  </si>
  <si>
    <t>9020006010</t>
  </si>
  <si>
    <t>9720603</t>
  </si>
  <si>
    <t>05401М2190</t>
  </si>
  <si>
    <t>05102М1710</t>
  </si>
  <si>
    <t>600</t>
  </si>
  <si>
    <t>300</t>
  </si>
  <si>
    <t>400</t>
  </si>
  <si>
    <t>Постановление администрации ЗАТО г.Североморск от 16.12.2013 № 1309 «Об утверждении муниципальной программы «Развитие образования ЗАТО г.Североморск» на 2014-2020 годы»</t>
  </si>
  <si>
    <t>Постановление администрации ЗАТО г.Североморск от 16.12.2013 № 1306 «Об утверждении муниципальной программы «Улучшение качества и безопасности жизни населения» на 2014-2020 годы»</t>
  </si>
  <si>
    <t>Постановление администрации от 17.03.2016 № 236 "Об установлении муниципальных размеров расходов для предоставления бесплатного питания детям в детских оздоровительных лагерях с дневным пребыванием на базе образовательных учреждений ЗАТО г.Североморск в период школьных каникул в 2016 году"</t>
  </si>
  <si>
    <t>06101S1030</t>
  </si>
  <si>
    <t>9729901</t>
  </si>
  <si>
    <t>9729909</t>
  </si>
  <si>
    <t>06102М1010</t>
  </si>
  <si>
    <t>06101М0080</t>
  </si>
  <si>
    <t>0610113060</t>
  </si>
  <si>
    <t xml:space="preserve">  06101М1100</t>
  </si>
  <si>
    <t>Приложение 1</t>
  </si>
  <si>
    <t>Постановление администрации ЗАТО г. Североморск № 904 от 07.11.08 "Об утверждении порядка компенсации расходов на оплату труда, стоимости проезда и провоза багажа к месту использования отпуска и обратно лицам, работающим в организациях, финансируемых из средств местного бюджета."</t>
  </si>
  <si>
    <t>п.1-8</t>
  </si>
  <si>
    <t>п. 1</t>
  </si>
  <si>
    <t>08</t>
  </si>
  <si>
    <t>06201S1030</t>
  </si>
  <si>
    <t>06202М1010</t>
  </si>
  <si>
    <t>06202М1020</t>
  </si>
  <si>
    <t>9729903</t>
  </si>
  <si>
    <t>10</t>
  </si>
  <si>
    <t>06</t>
  </si>
  <si>
    <t>06201М0130</t>
  </si>
  <si>
    <t>0620113060</t>
  </si>
  <si>
    <t>01502L0270</t>
  </si>
  <si>
    <t>Приложение 2</t>
  </si>
  <si>
    <t>Постановление администрации ЗАТО г. Североморск № 1088 от 24.10.13 "Об утверждении муниципальной программы «Развитие муниципального управления и гражданского общества» на 2014 - 2016 годы"</t>
  </si>
  <si>
    <t>Постановление администрации ЗАТО г. Североморск № 1306 от 16.12.13 "Об утверждении муниципальной программы "Улучшение качества и безопасности жизни населения" на 2014-2020 годы"</t>
  </si>
  <si>
    <t>Приложение 5</t>
  </si>
  <si>
    <t>06301S1030</t>
  </si>
  <si>
    <t>06302М1010</t>
  </si>
  <si>
    <t>06302М1020</t>
  </si>
  <si>
    <t>9729902</t>
  </si>
  <si>
    <t>60</t>
  </si>
  <si>
    <t>06301М0120</t>
  </si>
  <si>
    <t>0630113060</t>
  </si>
  <si>
    <t>06301М1100</t>
  </si>
  <si>
    <t xml:space="preserve">08 </t>
  </si>
  <si>
    <t>06602М1020</t>
  </si>
  <si>
    <t>06601М0090</t>
  </si>
  <si>
    <t>0660113060</t>
  </si>
  <si>
    <t>03301М2111</t>
  </si>
  <si>
    <t>Приложение 3</t>
  </si>
  <si>
    <t>Решение совета депутатов ЗАТО г. Североморск №403 от 30.04.13 "Об утверждении типового положения о служебных командировках в органах местного самоуправления ЗАТО г. Североморск"</t>
  </si>
  <si>
    <t>п.4.3, п. 4.12</t>
  </si>
  <si>
    <t>Приложение 4</t>
  </si>
  <si>
    <t>06401М1100</t>
  </si>
  <si>
    <t>06401М0140</t>
  </si>
  <si>
    <t>0640113060</t>
  </si>
  <si>
    <t>9010001010</t>
  </si>
  <si>
    <t>9010001030</t>
  </si>
  <si>
    <t>9010013060</t>
  </si>
  <si>
    <t>9010003010</t>
  </si>
  <si>
    <t>9010003030</t>
  </si>
  <si>
    <t>9010006010</t>
  </si>
  <si>
    <t>9010006030</t>
  </si>
  <si>
    <t>90100М2170</t>
  </si>
  <si>
    <t xml:space="preserve"> Решение Совета депутатов от 12.04.2011 № 130 «О размерах месячного денежного содержания, замещающих муниципальные должности»</t>
  </si>
  <si>
    <t xml:space="preserve"> Постановление администрации ЗАТО от 13.06.2013 № 588 "О служебных командировках в муниципальных учреждениях ЗАТО г. Североморск"</t>
  </si>
  <si>
    <t>05</t>
  </si>
  <si>
    <t>0452512</t>
  </si>
  <si>
    <t>0452521</t>
  </si>
  <si>
    <t>9729022</t>
  </si>
  <si>
    <t>Постановление администрации ЗАТО г. Североморск от 11.01.2016 года № 8 "Об утверждении муниципальной программы "Обеспечение комфортной городской среды в ЗАТО г. Североморск на 2016-2020 годы"</t>
  </si>
  <si>
    <t>04101М2520</t>
  </si>
  <si>
    <t>04101М2510</t>
  </si>
  <si>
    <t>04102М2550</t>
  </si>
  <si>
    <t>04102М2560</t>
  </si>
  <si>
    <t>04102S0930</t>
  </si>
  <si>
    <t>04102М2580</t>
  </si>
  <si>
    <t>Постановление администрации ЗАТО г. Североморск от 11.01.2016 года № 8 "Об утверждении муниципальной программы "Обеспечение комфортной городской среды в ЗАТО г. Североморск на 2016-2020 годы",</t>
  </si>
  <si>
    <t xml:space="preserve"> Решение Совета депутатов ЗАТО г. Североморск четвертого созыва от 26.11.2013 года № 475 "О муниципальном дорожном фонде"</t>
  </si>
  <si>
    <t>04502М2670</t>
  </si>
  <si>
    <t>04502М2690</t>
  </si>
  <si>
    <t>Постановление администрации ЗАТО г. Североморск от 16.12.2013 года № 1306 "Об утверждении муниципальной программы "Улучшение качества жизни и безопасности населения на 2014-2016 годы</t>
  </si>
  <si>
    <t>90200М9510</t>
  </si>
  <si>
    <t>90200М9530</t>
  </si>
  <si>
    <t>810</t>
  </si>
  <si>
    <t>04604М0160</t>
  </si>
  <si>
    <t>04605М2780</t>
  </si>
  <si>
    <t>04606М2790</t>
  </si>
  <si>
    <t>04604М2770</t>
  </si>
  <si>
    <t>01802М2990</t>
  </si>
  <si>
    <t>01901М2990</t>
  </si>
  <si>
    <t>04201М2610</t>
  </si>
  <si>
    <t>04201М2620</t>
  </si>
  <si>
    <t>04201М2630</t>
  </si>
  <si>
    <t>04202М2990</t>
  </si>
  <si>
    <t>04601М2700</t>
  </si>
  <si>
    <t>04601М2710</t>
  </si>
  <si>
    <t>04601М2730</t>
  </si>
  <si>
    <t>04601М2740</t>
  </si>
  <si>
    <t>04603М2700</t>
  </si>
  <si>
    <t>04603М2730</t>
  </si>
  <si>
    <t>04603М2990</t>
  </si>
  <si>
    <t>04701М2800</t>
  </si>
  <si>
    <t>04701М2810</t>
  </si>
  <si>
    <t>04701М2840</t>
  </si>
  <si>
    <t>04703М2990</t>
  </si>
  <si>
    <t>90200М9520</t>
  </si>
  <si>
    <t>90100М9160</t>
  </si>
  <si>
    <t>9040013060</t>
  </si>
  <si>
    <t>90400М0010</t>
  </si>
  <si>
    <t>9729041</t>
  </si>
  <si>
    <t>9729063</t>
  </si>
  <si>
    <t>04301М2640</t>
  </si>
  <si>
    <t>04301М2990</t>
  </si>
  <si>
    <t>04302М2990</t>
  </si>
  <si>
    <t>04401М2990</t>
  </si>
  <si>
    <t>043252</t>
  </si>
  <si>
    <t>04602A5590</t>
  </si>
  <si>
    <t>03102М2990</t>
  </si>
  <si>
    <t>03105М2990</t>
  </si>
  <si>
    <t>03107М0030</t>
  </si>
  <si>
    <t>0310713060</t>
  </si>
  <si>
    <t>04501S0850</t>
  </si>
  <si>
    <t>06501М2990</t>
  </si>
  <si>
    <t xml:space="preserve">Постановления администрации ЗАТО г. Североморск  №1206 от 22.11.2013«Об утверждении муниципальной программы «Культура ЗАТО г.Североморск» на 2014-2020 годы»
</t>
  </si>
  <si>
    <t>Постановление администраци №1088 от 24.10.2013«Об утверждении муниципальной программы «Развитие муниципального управления и гражданского общества» на 2014-2020 годы»</t>
  </si>
  <si>
    <t>03103М2990</t>
  </si>
  <si>
    <t>03106М2990</t>
  </si>
  <si>
    <t>0310106010</t>
  </si>
  <si>
    <t>90200М3100</t>
  </si>
  <si>
    <t>04502М2680</t>
  </si>
  <si>
    <t>Постановление администрации ЗАТО г.Североморск №8 от 11.01.2016г. Об утверждении муниципальной программы «Обеспечение комфортной городской среды
в ЗАТО г.Североморск» на 2016-2020 годы»</t>
  </si>
  <si>
    <t>9030005010</t>
  </si>
  <si>
    <t>9030006010</t>
  </si>
  <si>
    <t>9030006030</t>
  </si>
  <si>
    <t>9030013060</t>
  </si>
  <si>
    <t>03302М2990</t>
  </si>
  <si>
    <t>14</t>
  </si>
  <si>
    <t>01601М2990</t>
  </si>
  <si>
    <t>01602М2990</t>
  </si>
  <si>
    <t>05104S4000</t>
  </si>
  <si>
    <t>01201М2990</t>
  </si>
  <si>
    <t>9789057</t>
  </si>
  <si>
    <t>90200М9300</t>
  </si>
  <si>
    <t>90400М0020</t>
  </si>
  <si>
    <t>9779022</t>
  </si>
  <si>
    <t>02101М2990</t>
  </si>
  <si>
    <t>02102L0640</t>
  </si>
  <si>
    <t>02102М2990</t>
  </si>
  <si>
    <t>01101М2990</t>
  </si>
  <si>
    <t>01301М2990</t>
  </si>
  <si>
    <t>9020004010</t>
  </si>
  <si>
    <t>90200М9170</t>
  </si>
  <si>
    <t>03203S0570</t>
  </si>
  <si>
    <t>03401М6060</t>
  </si>
  <si>
    <t>90200S9300</t>
  </si>
  <si>
    <t>9050013060</t>
  </si>
  <si>
    <t>90500М0160</t>
  </si>
  <si>
    <t>90500М0150</t>
  </si>
  <si>
    <t>90500М0040</t>
  </si>
  <si>
    <t>90500М1010</t>
  </si>
  <si>
    <t>90500М1030</t>
  </si>
  <si>
    <t>90500М1400</t>
  </si>
  <si>
    <t>0659100</t>
  </si>
  <si>
    <t>9729024</t>
  </si>
  <si>
    <t>Постановление администрации от 07.11.2008 г № 904 "Об утверждении порядка компенсации расходов на оплату стоимости проезда и провоза багажа к месту использования отпуска и обратно лицам, работающим в организациях, финансируемых из средств местного бюджета ЗАТО г.Североморск"</t>
  </si>
  <si>
    <t>90500М0170</t>
  </si>
  <si>
    <t>01401М8900</t>
  </si>
  <si>
    <t>01401М2990</t>
  </si>
  <si>
    <t>01401М8300</t>
  </si>
  <si>
    <t>01401М8510</t>
  </si>
  <si>
    <t>01402М8600</t>
  </si>
  <si>
    <t>01403М2990</t>
  </si>
  <si>
    <t>01403М8200</t>
  </si>
  <si>
    <t>01403М8210</t>
  </si>
  <si>
    <t>01403М8700</t>
  </si>
  <si>
    <t>01403М8710</t>
  </si>
  <si>
    <t>01501М6060</t>
  </si>
  <si>
    <t>0148101</t>
  </si>
  <si>
    <t xml:space="preserve">Решение Совета депутатов муниципального образования ЗАТО г. Североморск от 13.12.2011 № 218 "Устав муниципального образования "Закрытое административно-территориальное образование город Североморск" </t>
  </si>
  <si>
    <t>26.12.2011 не установлен</t>
  </si>
  <si>
    <t>Закон мурманской области от 29.06.2007 № 860-01-ЗМО "О муниципальной службе в Мурманской области"</t>
  </si>
  <si>
    <t>28.06.2007</t>
  </si>
  <si>
    <t>гл.6</t>
  </si>
  <si>
    <t>Федеральный закон от 02.03.2007 № 25-ФЗ "О муниципальной службе в Российской Федерации"</t>
  </si>
  <si>
    <t>Постановление администрации ЗАТО г.Североморск от 07.11.2008 № 904 "Об утверждении порядка компенсации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средств местного"</t>
  </si>
  <si>
    <t>Решение Совета депутатов от 10.04.2012 № 256 «Об утверждении Положения «О порядке управления и распоряжения имуществом, находящимся в собственности муниципального образования ЗАТО г. Североморск»</t>
  </si>
  <si>
    <t>подп.3, п. 9.1, ст.9</t>
  </si>
  <si>
    <t>подп.1, п. 9.1, ст.9</t>
  </si>
  <si>
    <t>не установлен-</t>
  </si>
  <si>
    <t>01.01.2014-31.12.2020</t>
  </si>
  <si>
    <t>01.01.2014 - 31.12.2020</t>
  </si>
  <si>
    <t>Постановление администрации ЗАТО г.Североморск от 28.04.2016 № 495 "Об утверждении муниципальной программы "Создание условий для эффективного и ответственного управления муниципальными финансами, повышения устойчивости бюджета муниципального образования ЗАТО г.Североморск" на 2016-2020 годы"</t>
  </si>
  <si>
    <t>28.04.2016 - 31.12.2020</t>
  </si>
  <si>
    <t>прил.1</t>
  </si>
  <si>
    <t>прил.5</t>
  </si>
  <si>
    <t>прил. 2, 3</t>
  </si>
  <si>
    <t>подп.5, п. 9.1, ст.9</t>
  </si>
  <si>
    <t>Постановление администрации ЗАТО г.Североморск от 16.12.2013 № 1306 "Об утверждении муниципальной программы "Улучшение качества и безопасности жизни населения" на 2014-2020 годы"</t>
  </si>
  <si>
    <t>подп.6, п. 9.1, ст.9</t>
  </si>
  <si>
    <t>подп.7, п. 9.1, ст.9</t>
  </si>
  <si>
    <t>подп.15, п. 9.1, ст.9</t>
  </si>
  <si>
    <t>прил. 1</t>
  </si>
  <si>
    <t>прил.2, 3</t>
  </si>
  <si>
    <t>Постановление администрации ЗАТО г. Североморск № 1253 от 03.10.16 "О премиях ЗАТО г. Североморск одаренным детям и учащейся молоджеи, проявившим выдающиеся способности в области образования"</t>
  </si>
  <si>
    <t>Постановление администрации ЗАТО г. Североморск от 15.06.2016 № 718 «Об оплате труда работников муниципальных бюджетных, автономных и казенных учреждений ЗАТО г.Североморск"</t>
  </si>
  <si>
    <t>подп.18, п. 9.1, ст.9</t>
  </si>
  <si>
    <t>Постановление администрации ЗАТО г. Североморск № 1325 от 12.10.16 "О назначении стипендий и премий одаренным детям и творческим коллективам ЗАТО г. Североморск за достижения в области культуры на 2016-2017 учебный год."</t>
  </si>
  <si>
    <t>Решение Совета депутатов ЗАТО г. Североморск №403 от 30.04.13 "Об утверждении типового положения о служебных командировках в органах местного самоуправления ЗАТО г. Североморск"</t>
  </si>
  <si>
    <t>подп.19, п. 9.1, ст.9</t>
  </si>
  <si>
    <t>подп.21, п. 9.1, ст.9</t>
  </si>
  <si>
    <t>подп.22, п. 9.1, ст.9</t>
  </si>
  <si>
    <t>подп.25, п. 9.1, ст.9</t>
  </si>
  <si>
    <t>прил.6</t>
  </si>
  <si>
    <t>Приложение 2, 6, 7</t>
  </si>
  <si>
    <t>Решение Совета депутатов ЗАТО г.Североморск от 02.04.2014 № 517 "Об утверждении Правил благоустройства территории муниципального образования ЗАТО г.Североморск"</t>
  </si>
  <si>
    <t>Постановление администрации ЗАТО г. Североморск от 11.01.2016 года №8 "Об утверждении муниципальной программы обеспечение комфортной городской среды в ЗАТО г. Североморск на 2016-2020 годы"</t>
  </si>
  <si>
    <t>подп. 24, п. 1, ст. 16</t>
  </si>
  <si>
    <t>подп.26, п. 9.1, ст.9</t>
  </si>
  <si>
    <t>подп.27, п. 9.1, ст.9</t>
  </si>
  <si>
    <t>подп.34, п. 9.1, ст.9</t>
  </si>
  <si>
    <t>Приложение 6</t>
  </si>
  <si>
    <t>подп.35, п. 9.1, ст.9</t>
  </si>
  <si>
    <t>Постановление администрации ЗАТО г.Североморск от 24.10.2013 № 1087 "Об утверждении муниципальной программы "Развитие конкурентоспособной экономики ЗАТО г.Североморск" на 2014 - 2020 годы"</t>
  </si>
  <si>
    <t>Постановление администрации ЗАТО г.Североморск от 24.09.2013 № 965 "Об утверждении Порядка предоставления грантов начинающим предпринимателям на создание собственного бизнеса по результатам конкурса бизнес-планов"</t>
  </si>
  <si>
    <t>подп.36, п. 9.1, ст.9</t>
  </si>
  <si>
    <t>Приложение 1, 3</t>
  </si>
  <si>
    <t>подп. 43, п. 1, ст. 16</t>
  </si>
  <si>
    <t>подп.46, п. 9.1, ст.9</t>
  </si>
  <si>
    <t>Прил. 2, 3, 4</t>
  </si>
  <si>
    <t>Решение Совета депутатов муниципального образования ЗАТО г. Североморск от 24.05.2011 № 150 "Об утверждении Порядка назначения, выплаты и финансирования пенсии за выслугу лет муниципальным служащим муниципального образования ЗАТО г. Североморск"</t>
  </si>
  <si>
    <t>Постановление администрации ЗАТО г.Североморск от 25.12.2013 № 1358 "Об организации деятельности Многофункционального центра предоставления государственных и муниципальных услуг по принципу «одного окна» на территории ЗАТО г.Североморск"</t>
  </si>
  <si>
    <t>25.12.2013-не установлен</t>
  </si>
  <si>
    <t>Постановление администрации ЗАТО г.Североморск от 03.06.2013 № 546 "О создании путем учреждения Муниципального бюджетного учреждения "Административно-хозяйственное и транспортное обслуживание""</t>
  </si>
  <si>
    <t>03.06.2013-не установлен</t>
  </si>
  <si>
    <t>Прил. 2</t>
  </si>
  <si>
    <t>прил. 5</t>
  </si>
  <si>
    <t>ст.15</t>
  </si>
  <si>
    <t>Закон Мурманской области от 27.05.2014 № 841-01-ЗМО "О выборах депутатов представительных органов муниципальных образований"</t>
  </si>
  <si>
    <t>09.03.2007-не установлен</t>
  </si>
  <si>
    <t>прил. 3, 4</t>
  </si>
  <si>
    <t>подп.1, п. 10.1, ст.10</t>
  </si>
  <si>
    <t>подп.13, п. 10.1, ст.10</t>
  </si>
  <si>
    <t>Приложение 4, 5</t>
  </si>
  <si>
    <t>под-раздел</t>
  </si>
  <si>
    <t>09.05.2013 - не установлен</t>
  </si>
  <si>
    <t>21.06.2013 - не установлен</t>
  </si>
  <si>
    <t>23.12.2011 не установлен</t>
  </si>
  <si>
    <t>01.01.2016 - 31.12.2020</t>
  </si>
  <si>
    <t>10.04.2012 - не установлен</t>
  </si>
  <si>
    <t>29.11.2013 - не установлен</t>
  </si>
  <si>
    <t>25.03.2016</t>
  </si>
  <si>
    <t>Постановление администрации ЗАТО г. Североморск №1206 от 22.11.13 "Об утверждении муниципальной программы "Культура ЗАТО г. Североморск" на 2014-2020 годы"</t>
  </si>
  <si>
    <t>07.10.2016 - не установлен</t>
  </si>
  <si>
    <t>Постановление администрации ЗАТО г. Североморск от 19.02.2016 № 152 «Об утверждении титульного списка капитального строительства объектов социальной сферы и инженерной инфраструктуры ЗАТО г.Североморск на 2016-2017 года"</t>
  </si>
  <si>
    <t>24.06.2016 - не установлен</t>
  </si>
  <si>
    <t>19.02.2016 - 31.12.2017</t>
  </si>
  <si>
    <t>Постановление администрации ЗАТО г. Североморск № 1088 от 24.10.13 "Об утверждении муниципальной программы «Развитие муниципального управления и гражданского общества» на 2014 - 2020 годы"</t>
  </si>
  <si>
    <t>12.10.2016 - 31.12.2017</t>
  </si>
  <si>
    <t>04.04.2014-не установлен</t>
  </si>
  <si>
    <t>04.10.2013-не установлен</t>
  </si>
  <si>
    <t>26.03.2010 не установлен</t>
  </si>
  <si>
    <t>28.12.2012 - не установлен</t>
  </si>
  <si>
    <t>18.03.2005 - не установлен</t>
  </si>
  <si>
    <t>Постановление администрации ЗАТО г.Североморск от 26.02.2015 № 192 "Об утверждении Положения о порядке использования бюджетных ассигновапний резервного фонда администрации ЗАТО г.Североморск"</t>
  </si>
  <si>
    <t>06.03.2015 - не установлен</t>
  </si>
  <si>
    <t>15.04.2011 - не установлен</t>
  </si>
  <si>
    <t>21.11.2008 - не установлен</t>
  </si>
  <si>
    <t xml:space="preserve"> Решение Совета депутатов от 09.10.12 № 301 "Об утверждении Положения о возмещении депутатам Совета депутатов ЗАТО г. Североморск расходов, связанных с депутатской деятельностью"</t>
  </si>
  <si>
    <t>12.10.2012 - не установлен</t>
  </si>
  <si>
    <t>27.05.2011</t>
  </si>
  <si>
    <t>Постановление Администрации МО ЗАТО город Североморск от 07.11.2008 N 904
"Об утверждении Порядка компенсации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средств местного бюджета муниципального образования ЗАТО г. Североморск, и неработающим членам их семей"</t>
  </si>
  <si>
    <t>04.04.2010 не установлен</t>
  </si>
  <si>
    <t>п. 5, ст. 19</t>
  </si>
  <si>
    <t xml:space="preserve"> ст. 20</t>
  </si>
  <si>
    <t xml:space="preserve">
Решение Совета депутатов ЗАТО г.Североморск от 10.03.2015 N 622 "Об утверждении Положения об оказании поддержки социально ориентированным некоммерческим организациям в муниципальном образовании ЗАТО г. Североморск"
</t>
  </si>
  <si>
    <t>13.03.2015- не установлен</t>
  </si>
  <si>
    <t>Постановление администрации ЗАТО г.Североморск от 22.04.2014 № 375 "О дополнительных мерах социальной поддержки ветеранов Великой Отечественной войны"</t>
  </si>
  <si>
    <t>08.05.2014 - не установлен</t>
  </si>
  <si>
    <t>Постановление администрации ЗАТО г.Североморск от 27.04.2015 N 406 "Об утверждении Порядка предоставления социальной поддержки по возмещению расходов по проезду в государственные областные медицинские организации Мурманской области, находящиеся за пределами территории проживания, отдельным категориям граждан"</t>
  </si>
  <si>
    <t>Постановление администрации ЗАТО г.Североморск от 26.02.2014 № 143 "О дополнительных мерах социальной поддержки отдельных категорий граждан"</t>
  </si>
  <si>
    <t>07.03.2014 - не установлен</t>
  </si>
  <si>
    <t>Постановление администрации муниципального образования ЗАТО г. Североморск от 11.03.2010 № 175 "О мерах социальной поддержки почетных граждан города Североморска"</t>
  </si>
  <si>
    <t>01.01.2010 - не установлен</t>
  </si>
  <si>
    <t>2.6. Расходные обязательства за счет субсидий и иных межбюджетных трансфертов, предоставленных из федерального бюджета или бюджета субъекта Российской Федерации</t>
  </si>
  <si>
    <t>90500М1020</t>
  </si>
  <si>
    <t>прил.7,8</t>
  </si>
  <si>
    <t>прил. 4, 5, 8</t>
  </si>
  <si>
    <t>Приложение 5, 8</t>
  </si>
  <si>
    <t>Приложение 7</t>
  </si>
  <si>
    <t>Постановление администрации ЗАТО г. Североморск от 19.12.2012 № 1214 "Об утверждении Положения о порядке оплаты расходов, связанных с переездом отдельных категорий граждан из ЗАТО г. Североморск на новое место жительства"</t>
  </si>
  <si>
    <t>2.1.29.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</si>
  <si>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подп. 26, п. 1, ст. 16</t>
  </si>
  <si>
    <t>Федеральный закон от 29.12.2004 № 190-ФЗ "Градостроительный кодекс Российской Федерации"</t>
  </si>
  <si>
    <t>ст. 6</t>
  </si>
  <si>
    <t>подп.28, п. 9.1, ст.9</t>
  </si>
  <si>
    <t>Прил. 1</t>
  </si>
  <si>
    <t xml:space="preserve">Решение Совета депутатов МО ЗАТО город Североморск от 22.12.2009 N 570 "Об утверждении Положения "О Комитете имущественных отношений администрации ЗАТО г. Североморск" </t>
  </si>
  <si>
    <t>Постановление администрации ЗАТО г.Североморск от 15.08.2011 № 630 "О создании муниципального казенного учреждения "Городской центр жилищно-коммунального хозяйства ЗАТО г.Североморск"</t>
  </si>
  <si>
    <t>15.08.2011 - не установлен</t>
  </si>
  <si>
    <t>Решение Совета депутатов ЗАТО город Североморск от 26.11.2013 N 476 "Об утверждении "Правил землепользования и застройки населенных пунктов, входящих в состав муниципального образования ЗАТО г. Североморск"</t>
  </si>
  <si>
    <t xml:space="preserve"> от 24.07.2009 № 212-ФЗ "О страховых взносах в Пенсионный фонд Российской Федерации, Фонд социального страхования Российской Федерации, Федеральный фонд обязательного медицинского страхования"</t>
  </si>
  <si>
    <t xml:space="preserve">Федеральный закон от 29.12.2004 N 188-ФЗ "Жилищный кодекс Российской Федерации" </t>
  </si>
  <si>
    <t>03.01.2005 - не установлен</t>
  </si>
  <si>
    <t>Постановление Администрации ЗАТО город Североморск от 24.02.2015 N 167 "Об утверждении краткосрочного плана реализации региональной программы капитального ремонта общего имущества в многоквартирных домах, расположенных на территории Мурманской области, на 2014 - 2043 годы в муниципальном образовании ЗАТО г. Североморск на 2016 год"</t>
  </si>
  <si>
    <t>30.04.2015 - 31.12.2043</t>
  </si>
  <si>
    <t xml:space="preserve">
Федеральный закон от 10.12.1995 N 196-ФЗ "О безопасности дорожного движения"
</t>
  </si>
  <si>
    <t>11.12.1995 - не установлен</t>
  </si>
  <si>
    <t xml:space="preserve">Постановление Администрации МО ЗАТО город Североморск от 29.10.2012 N 966 "Об автомобильных дорогах общего пользования местного значения муниципального образования ЗАТО г. Североморск" </t>
  </si>
  <si>
    <t>09.11.2012 - не установлен</t>
  </si>
  <si>
    <t xml:space="preserve">
Постановление Администрации ЗАТО город Североморск от 04.12.2013 N 1275 "Об утверждении Порядка предоставления автотранспортным организациям субсидий из бюджета ЗАТО г. Североморск на возмещение недополученных доходов в связи с осуществлением пассажирских перевозок автомобильным транспортом по социально значимым муниципальным маршрутам на территории ЗАТО г. Североморск по регулируемым тарифам" 
</t>
  </si>
  <si>
    <t>06.12.2013</t>
  </si>
  <si>
    <t xml:space="preserve">Постановление Администрации ЗАТО город Североморск от 01.02.2016 N 73 "Об утверждении стоимости услуг по погребению на территории ЗАТО г. Североморск" </t>
  </si>
  <si>
    <t>05.02.2016</t>
  </si>
  <si>
    <t>Федеральный закон от 12.01.1996 N 8-ФЗ "О погребении и похоронном деле"</t>
  </si>
  <si>
    <t>15.01.1996 - не установлен</t>
  </si>
  <si>
    <t xml:space="preserve">Постановление Администрации МО ЗАТО город Североморск от 06.12.2012 N 1159 "Об утверждении Положения об отделе по делам гражданской обороны и чрезвычайным ситуациям администрации ЗАТО г. Североморск" </t>
  </si>
  <si>
    <t>14.12.2012 - не установлен</t>
  </si>
  <si>
    <t>Федеральный закон от 24.07.2007 N 209-ФЗ "О развитии малого и среднего предпринимательства в Российской Федерации"</t>
  </si>
  <si>
    <t>30.07.2007 - не установлен</t>
  </si>
  <si>
    <t xml:space="preserve">Постановление Администрации ЗАТО город Североморск от 08.04.2016 N 403 "Об организации отдыха, оздоровления и занятости детей и молодежи в 2016 году" </t>
  </si>
  <si>
    <t>15.04.2016</t>
  </si>
  <si>
    <t xml:space="preserve">Федеральный закон от 19.05.1995 N 81-ФЗ "О государственных пособиях гражданам, имеющим детей" </t>
  </si>
  <si>
    <t>22.05.1995 - не установлен</t>
  </si>
  <si>
    <t xml:space="preserve">Решение Совета депутатов ЗАТО город Североморск от 02.04.2014 N 517 "Об утверждении Правил благоустройства территории муниципального образования ЗАТО г. Североморск" </t>
  </si>
  <si>
    <t>04.04.2014</t>
  </si>
  <si>
    <t xml:space="preserve">Постановление Администрации ЗАТО город Североморск от 31.03.2015 N 314 "Об утверждении Комплекса мер ("дорожной карты") по развитию жилищно-коммунального хозяйства на территории ЗАТО г. Североморск" </t>
  </si>
  <si>
    <t>10.04.2015</t>
  </si>
  <si>
    <t>Носова Р.Ф.</t>
  </si>
  <si>
    <t>Агаркова О.Н.</t>
  </si>
  <si>
    <t>Исполнитель     гл. специалист</t>
  </si>
  <si>
    <t>" ___ " _______________  2016 г.</t>
  </si>
  <si>
    <t>по факту                   исполнения</t>
  </si>
  <si>
    <t>2016 г.                                     ( на 01.10.2016)</t>
  </si>
  <si>
    <t>Начальник Управления финансов</t>
  </si>
  <si>
    <t>07102М9140</t>
  </si>
  <si>
    <t>0330106030</t>
  </si>
  <si>
    <t>0330206030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</si>
</sst>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1" x14ac:knownFonts="1">
    <font>
      <sz val="11"/>
      <name val="Calibri"/>
      <family val="2"/>
    </font>
    <font>
      <sz val="11"/>
      <color theme="1"/>
      <name val="Calibri"/>
      <family val="2"/>
      <charset val="204"/>
      <scheme val="minor"/>
    </font>
    <font>
      <sz val="11"/>
      <name val="Times New Roman"/>
      <family val="1"/>
      <charset val="204"/>
    </font>
    <font>
      <sz val="7"/>
      <name val="Times New Roman"/>
      <family val="1"/>
      <charset val="204"/>
    </font>
    <font>
      <b/>
      <sz val="11"/>
      <name val="Times New Roman"/>
      <family val="1"/>
      <charset val="204"/>
    </font>
    <font>
      <b/>
      <i/>
      <sz val="11"/>
      <name val="Times New Roman"/>
      <family val="1"/>
      <charset val="204"/>
    </font>
    <font>
      <sz val="11"/>
      <name val="Calibri"/>
      <family val="2"/>
      <scheme val="minor"/>
    </font>
    <font>
      <sz val="8"/>
      <color rgb="FF000000"/>
      <name val="Arial Cyr"/>
      <family val="2"/>
    </font>
    <font>
      <sz val="10"/>
      <color rgb="FF000000"/>
      <name val="Arial Cyr"/>
      <family val="2"/>
    </font>
    <font>
      <sz val="10"/>
      <color rgb="FF000000"/>
      <name val="Arial"/>
      <family val="2"/>
    </font>
    <font>
      <b/>
      <sz val="10"/>
      <color rgb="FF000000"/>
      <name val="Arial CYR"/>
      <family val="2"/>
    </font>
    <font>
      <sz val="8"/>
      <color rgb="FF000000"/>
      <name val="Times New Roman"/>
      <family val="2"/>
    </font>
    <font>
      <sz val="11"/>
      <color rgb="FF000000"/>
      <name val="Calibri"/>
      <family val="2"/>
      <scheme val="minor"/>
    </font>
    <font>
      <sz val="8"/>
      <color rgb="FF000000"/>
      <name val="Times New Roman"/>
      <family val="1"/>
      <charset val="204"/>
    </font>
    <font>
      <b/>
      <sz val="10"/>
      <color rgb="FF000000"/>
      <name val="Times New Roman"/>
      <family val="1"/>
      <charset val="204"/>
    </font>
    <font>
      <b/>
      <sz val="7"/>
      <color rgb="FF000000"/>
      <name val="Times New Roman"/>
      <family val="1"/>
      <charset val="204"/>
    </font>
    <font>
      <sz val="7"/>
      <color rgb="FF000000"/>
      <name val="Times New Roman"/>
      <family val="1"/>
      <charset val="204"/>
    </font>
    <font>
      <b/>
      <i/>
      <sz val="7"/>
      <color rgb="FF000000"/>
      <name val="Times New Roman"/>
      <family val="1"/>
      <charset val="204"/>
    </font>
    <font>
      <sz val="6"/>
      <color rgb="FF000000"/>
      <name val="Times New Roman"/>
      <family val="1"/>
      <charset val="204"/>
    </font>
    <font>
      <vertAlign val="superscript"/>
      <sz val="8"/>
      <color rgb="FF000000"/>
      <name val="Times New Roman"/>
      <family val="1"/>
      <charset val="204"/>
    </font>
    <font>
      <sz val="8"/>
      <name val="Times New Roman"/>
      <family val="1"/>
      <charset val="204"/>
    </font>
    <font>
      <sz val="6"/>
      <name val="Times New Roman"/>
      <family val="1"/>
      <charset val="204"/>
    </font>
    <font>
      <vertAlign val="superscript"/>
      <sz val="6"/>
      <color rgb="FF000000"/>
      <name val="Times New Roman"/>
      <family val="1"/>
      <charset val="204"/>
    </font>
    <font>
      <sz val="7"/>
      <name val="Calibri"/>
      <family val="2"/>
    </font>
    <font>
      <sz val="10"/>
      <name val="Arial Cyr"/>
      <charset val="204"/>
    </font>
    <font>
      <sz val="7"/>
      <color theme="1"/>
      <name val="Times New Roman"/>
      <family val="1"/>
      <charset val="204"/>
    </font>
    <font>
      <b/>
      <sz val="7"/>
      <name val="Times New Roman"/>
      <family val="1"/>
      <charset val="204"/>
    </font>
    <font>
      <sz val="6"/>
      <color theme="1"/>
      <name val="Times New Roman"/>
      <family val="1"/>
      <charset val="204"/>
    </font>
    <font>
      <sz val="10"/>
      <name val="Arial Cyr"/>
    </font>
    <font>
      <sz val="6"/>
      <color rgb="FFFF0000"/>
      <name val="Times New Roman"/>
      <family val="1"/>
      <charset val="204"/>
    </font>
    <font>
      <sz val="7"/>
      <color rgb="FFFF0000"/>
      <name val="Times New Roman"/>
      <family val="1"/>
      <charset val="204"/>
    </font>
    <font>
      <sz val="11"/>
      <color rgb="FFFF0000"/>
      <name val="Times New Roman"/>
      <family val="1"/>
      <charset val="204"/>
    </font>
    <font>
      <sz val="6"/>
      <color indexed="8"/>
      <name val="Times New Roman"/>
      <family val="1"/>
      <charset val="204"/>
    </font>
    <font>
      <b/>
      <sz val="8"/>
      <name val="Times New Roman"/>
      <family val="1"/>
      <charset val="204"/>
    </font>
    <font>
      <b/>
      <i/>
      <sz val="8"/>
      <name val="Times New Roman"/>
      <family val="1"/>
      <charset val="204"/>
    </font>
    <font>
      <sz val="8"/>
      <color rgb="FFFF0000"/>
      <name val="Times New Roman"/>
      <family val="1"/>
      <charset val="204"/>
    </font>
    <font>
      <sz val="10"/>
      <color rgb="FFFF0000"/>
      <name val="Times New Roman"/>
      <family val="1"/>
      <charset val="204"/>
    </font>
    <font>
      <b/>
      <sz val="8"/>
      <color rgb="FF000000"/>
      <name val="Times New Roman"/>
      <family val="1"/>
      <charset val="204"/>
    </font>
    <font>
      <b/>
      <vertAlign val="superscript"/>
      <sz val="6"/>
      <color rgb="FF000000"/>
      <name val="Times New Roman"/>
      <family val="1"/>
      <charset val="204"/>
    </font>
    <font>
      <b/>
      <vertAlign val="superscript"/>
      <sz val="14"/>
      <color rgb="FF000000"/>
      <name val="Times New Roman"/>
      <family val="1"/>
      <charset val="204"/>
    </font>
    <font>
      <b/>
      <sz val="6"/>
      <color rgb="FF000000"/>
      <name val="Times New Roman"/>
      <family val="1"/>
      <charset val="204"/>
    </font>
  </fonts>
  <fills count="8">
    <fill>
      <patternFill patternType="none"/>
    </fill>
    <fill>
      <patternFill patternType="gray125"/>
    </fill>
    <fill>
      <patternFill patternType="solid">
        <fgColor rgb="FFFFFFFF"/>
      </patternFill>
    </fill>
    <fill>
      <patternFill patternType="solid">
        <fgColor rgb="FFCCCCCC"/>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right/>
      <top/>
      <bottom style="thin">
        <color indexed="64"/>
      </bottom>
      <diagonal/>
    </border>
  </borders>
  <cellStyleXfs count="117">
    <xf numFmtId="0" fontId="0" fillId="0" borderId="0"/>
    <xf numFmtId="0" fontId="6" fillId="0" borderId="0"/>
    <xf numFmtId="0" fontId="6" fillId="0" borderId="0"/>
    <xf numFmtId="49" fontId="7" fillId="2" borderId="1">
      <alignment horizontal="left" wrapText="1"/>
    </xf>
    <xf numFmtId="0" fontId="8" fillId="2" borderId="0">
      <alignment horizontal="center" wrapText="1"/>
    </xf>
    <xf numFmtId="0" fontId="9" fillId="0" borderId="0"/>
    <xf numFmtId="0" fontId="9" fillId="0" borderId="0"/>
    <xf numFmtId="0" fontId="6" fillId="0" borderId="0"/>
    <xf numFmtId="0" fontId="10" fillId="2" borderId="0">
      <alignment horizontal="center"/>
    </xf>
    <xf numFmtId="0" fontId="10" fillId="2" borderId="0">
      <alignment horizontal="left"/>
    </xf>
    <xf numFmtId="0" fontId="7" fillId="2" borderId="0">
      <alignment horizontal="left"/>
    </xf>
    <xf numFmtId="0" fontId="7" fillId="2" borderId="1">
      <alignment horizontal="left"/>
    </xf>
    <xf numFmtId="0" fontId="11" fillId="0" borderId="2">
      <alignment horizontal="center" vertical="center" wrapText="1"/>
    </xf>
    <xf numFmtId="49" fontId="11" fillId="2" borderId="3">
      <alignment horizontal="center"/>
    </xf>
    <xf numFmtId="49" fontId="11" fillId="2" borderId="4">
      <alignment horizontal="center"/>
    </xf>
    <xf numFmtId="49" fontId="11" fillId="2" borderId="5">
      <alignment horizontal="center"/>
    </xf>
    <xf numFmtId="0" fontId="8" fillId="3" borderId="6">
      <alignment horizontal="left"/>
    </xf>
    <xf numFmtId="0" fontId="7" fillId="2" borderId="0"/>
    <xf numFmtId="0" fontId="7" fillId="2" borderId="1"/>
    <xf numFmtId="49" fontId="11" fillId="0" borderId="3">
      <alignment horizontal="center"/>
    </xf>
    <xf numFmtId="49" fontId="11" fillId="0" borderId="5">
      <alignment horizontal="center"/>
    </xf>
    <xf numFmtId="49" fontId="11" fillId="0" borderId="3">
      <alignment horizontal="center"/>
    </xf>
    <xf numFmtId="49" fontId="11" fillId="0" borderId="4">
      <alignment horizontal="center"/>
    </xf>
    <xf numFmtId="49" fontId="11" fillId="0" borderId="5">
      <alignment horizontal="center"/>
    </xf>
    <xf numFmtId="0" fontId="7" fillId="0" borderId="7">
      <alignment horizontal="center"/>
    </xf>
    <xf numFmtId="0" fontId="7" fillId="2" borderId="0">
      <alignment horizontal="center"/>
    </xf>
    <xf numFmtId="0" fontId="8" fillId="2" borderId="0">
      <alignment horizontal="center"/>
    </xf>
    <xf numFmtId="0" fontId="7" fillId="0" borderId="7">
      <alignment horizontal="left"/>
    </xf>
    <xf numFmtId="49" fontId="11" fillId="0" borderId="8">
      <alignment horizontal="center"/>
    </xf>
    <xf numFmtId="49" fontId="11" fillId="0" borderId="3">
      <alignment horizontal="center"/>
    </xf>
    <xf numFmtId="49" fontId="11" fillId="0" borderId="9">
      <alignment horizontal="center"/>
    </xf>
    <xf numFmtId="0" fontId="8" fillId="3" borderId="0">
      <alignment horizontal="left"/>
    </xf>
    <xf numFmtId="0" fontId="8" fillId="0" borderId="0">
      <alignment horizontal="left"/>
    </xf>
    <xf numFmtId="0" fontId="8" fillId="0" borderId="0">
      <alignment wrapText="1"/>
    </xf>
    <xf numFmtId="0" fontId="10" fillId="0" borderId="0">
      <alignment horizontal="center"/>
    </xf>
    <xf numFmtId="0" fontId="10" fillId="0" borderId="0">
      <alignment horizontal="left"/>
    </xf>
    <xf numFmtId="0" fontId="8" fillId="0" borderId="0"/>
    <xf numFmtId="0" fontId="7" fillId="0" borderId="0">
      <alignment horizontal="left"/>
    </xf>
    <xf numFmtId="0" fontId="7" fillId="0" borderId="0">
      <alignment horizontal="left"/>
    </xf>
    <xf numFmtId="0" fontId="7" fillId="0" borderId="1">
      <alignment horizontal="left"/>
    </xf>
    <xf numFmtId="0" fontId="11" fillId="0" borderId="3">
      <alignment horizontal="center" vertical="center"/>
    </xf>
    <xf numFmtId="0" fontId="11" fillId="0" borderId="4">
      <alignment horizontal="center" vertical="center"/>
    </xf>
    <xf numFmtId="0" fontId="11" fillId="0" borderId="5">
      <alignment horizontal="center" vertical="center"/>
    </xf>
    <xf numFmtId="0" fontId="11" fillId="0" borderId="2">
      <alignment horizontal="center" vertical="center"/>
    </xf>
    <xf numFmtId="0" fontId="8" fillId="3" borderId="10">
      <alignment horizontal="left"/>
    </xf>
    <xf numFmtId="0" fontId="11" fillId="0" borderId="11">
      <alignment wrapText="1"/>
    </xf>
    <xf numFmtId="0" fontId="11" fillId="0" borderId="11">
      <alignment horizontal="left" wrapText="1" indent="2"/>
    </xf>
    <xf numFmtId="0" fontId="8" fillId="3" borderId="7">
      <alignment horizontal="left"/>
    </xf>
    <xf numFmtId="0" fontId="7" fillId="0" borderId="0">
      <alignment horizontal="left" wrapText="1"/>
    </xf>
    <xf numFmtId="0" fontId="7" fillId="0" borderId="0">
      <alignment horizontal="center"/>
    </xf>
    <xf numFmtId="49" fontId="8" fillId="2" borderId="0"/>
    <xf numFmtId="0" fontId="8" fillId="2" borderId="0">
      <alignment wrapText="1"/>
    </xf>
    <xf numFmtId="0" fontId="8" fillId="2" borderId="0"/>
    <xf numFmtId="49" fontId="7" fillId="2" borderId="0"/>
    <xf numFmtId="49" fontId="7" fillId="2" borderId="1">
      <alignment horizontal="left"/>
    </xf>
    <xf numFmtId="49" fontId="7" fillId="2" borderId="1"/>
    <xf numFmtId="49" fontId="11" fillId="2" borderId="3">
      <alignment horizontal="center" vertical="center"/>
    </xf>
    <xf numFmtId="49" fontId="11" fillId="2" borderId="4">
      <alignment horizontal="center" vertical="center"/>
    </xf>
    <xf numFmtId="49" fontId="11" fillId="2" borderId="5">
      <alignment horizontal="center" vertical="center"/>
    </xf>
    <xf numFmtId="49" fontId="11" fillId="2" borderId="12">
      <alignment horizontal="center" vertical="center"/>
    </xf>
    <xf numFmtId="0" fontId="8" fillId="3" borderId="13">
      <alignment horizontal="left"/>
    </xf>
    <xf numFmtId="49" fontId="11" fillId="2" borderId="14">
      <alignment horizontal="center" vertical="center"/>
    </xf>
    <xf numFmtId="49" fontId="11" fillId="2" borderId="14">
      <alignment horizontal="center" vertical="center" wrapText="1"/>
    </xf>
    <xf numFmtId="0" fontId="8" fillId="3" borderId="15">
      <alignment horizontal="left"/>
    </xf>
    <xf numFmtId="49" fontId="7" fillId="2" borderId="16">
      <alignment horizontal="center"/>
    </xf>
    <xf numFmtId="49" fontId="7" fillId="2" borderId="0">
      <alignment horizontal="center"/>
    </xf>
    <xf numFmtId="0" fontId="7" fillId="0" borderId="0"/>
    <xf numFmtId="0" fontId="7" fillId="0" borderId="1"/>
    <xf numFmtId="49" fontId="11" fillId="0" borderId="3">
      <alignment horizontal="center" vertical="center"/>
    </xf>
    <xf numFmtId="49" fontId="11" fillId="0" borderId="5">
      <alignment horizontal="center" vertical="center"/>
    </xf>
    <xf numFmtId="49" fontId="11" fillId="0" borderId="2">
      <alignment horizontal="center" vertical="center"/>
    </xf>
    <xf numFmtId="49" fontId="11" fillId="0" borderId="3">
      <alignment horizontal="center" vertical="center"/>
    </xf>
    <xf numFmtId="49" fontId="11" fillId="0" borderId="4">
      <alignment horizontal="center" vertical="center"/>
    </xf>
    <xf numFmtId="49" fontId="11" fillId="0" borderId="5">
      <alignment horizontal="center" vertical="center"/>
    </xf>
    <xf numFmtId="0" fontId="11" fillId="0" borderId="12">
      <alignment horizontal="center" vertical="center"/>
    </xf>
    <xf numFmtId="49" fontId="11" fillId="0" borderId="2">
      <alignment horizontal="center"/>
    </xf>
    <xf numFmtId="49" fontId="11" fillId="0" borderId="2">
      <alignment horizontal="center" wrapText="1"/>
    </xf>
    <xf numFmtId="0" fontId="7" fillId="0" borderId="16">
      <alignment horizontal="center"/>
    </xf>
    <xf numFmtId="0" fontId="7" fillId="0" borderId="1">
      <alignment horizontal="center"/>
    </xf>
    <xf numFmtId="0" fontId="7" fillId="0" borderId="7">
      <alignment horizontal="center"/>
    </xf>
    <xf numFmtId="0" fontId="7" fillId="0" borderId="0">
      <alignment horizontal="center"/>
    </xf>
    <xf numFmtId="0" fontId="7" fillId="0" borderId="0">
      <alignment horizontal="centerContinuous"/>
    </xf>
    <xf numFmtId="0" fontId="7" fillId="0" borderId="1">
      <alignment horizontal="center"/>
    </xf>
    <xf numFmtId="0" fontId="12" fillId="0" borderId="0"/>
    <xf numFmtId="49" fontId="7" fillId="2" borderId="7"/>
    <xf numFmtId="49" fontId="11" fillId="2" borderId="2">
      <alignment horizontal="center" vertical="center" wrapText="1"/>
    </xf>
    <xf numFmtId="49" fontId="11" fillId="2" borderId="2">
      <alignment horizontal="center" vertical="center" wrapText="1"/>
    </xf>
    <xf numFmtId="49" fontId="11" fillId="2" borderId="2">
      <alignment horizontal="center"/>
    </xf>
    <xf numFmtId="49" fontId="11" fillId="2" borderId="2">
      <alignment horizontal="center" wrapText="1"/>
    </xf>
    <xf numFmtId="49" fontId="7" fillId="2" borderId="1">
      <alignment horizontal="center"/>
    </xf>
    <xf numFmtId="0" fontId="7" fillId="0" borderId="7"/>
    <xf numFmtId="49" fontId="7" fillId="0" borderId="16">
      <alignment horizontal="center"/>
    </xf>
    <xf numFmtId="49" fontId="7" fillId="0" borderId="0">
      <alignment horizontal="center"/>
    </xf>
    <xf numFmtId="0" fontId="11" fillId="0" borderId="0">
      <alignment horizontal="right"/>
    </xf>
    <xf numFmtId="0" fontId="8" fillId="0" borderId="0">
      <alignment horizontal="left" wrapText="1"/>
    </xf>
    <xf numFmtId="49" fontId="11" fillId="0" borderId="2">
      <alignment horizontal="center" vertical="center"/>
    </xf>
    <xf numFmtId="164" fontId="11" fillId="0" borderId="2">
      <alignment horizontal="center" shrinkToFit="1"/>
    </xf>
    <xf numFmtId="164" fontId="11" fillId="0" borderId="2">
      <alignment horizontal="center" wrapText="1"/>
    </xf>
    <xf numFmtId="49" fontId="7" fillId="0" borderId="1">
      <alignment horizontal="center"/>
    </xf>
    <xf numFmtId="49" fontId="7" fillId="0" borderId="7">
      <alignment horizontal="center"/>
    </xf>
    <xf numFmtId="49" fontId="11" fillId="0" borderId="8">
      <alignment horizontal="center" vertical="center"/>
    </xf>
    <xf numFmtId="49" fontId="11" fillId="0" borderId="3">
      <alignment horizontal="center" vertical="center"/>
    </xf>
    <xf numFmtId="49" fontId="7" fillId="0" borderId="0"/>
    <xf numFmtId="49" fontId="7" fillId="0" borderId="1"/>
    <xf numFmtId="49" fontId="11" fillId="0" borderId="9">
      <alignment horizontal="center" vertical="center"/>
    </xf>
    <xf numFmtId="164" fontId="11" fillId="0" borderId="11">
      <alignment horizontal="center" shrinkToFit="1"/>
    </xf>
    <xf numFmtId="164" fontId="11" fillId="0" borderId="11">
      <alignment horizontal="center" wrapText="1"/>
    </xf>
    <xf numFmtId="0" fontId="7" fillId="0" borderId="0">
      <alignment horizontal="center" vertical="top"/>
    </xf>
    <xf numFmtId="0" fontId="8" fillId="2" borderId="0">
      <alignment horizontal="left"/>
    </xf>
    <xf numFmtId="0" fontId="10" fillId="2" borderId="0">
      <alignment horizontal="center" wrapText="1"/>
    </xf>
    <xf numFmtId="49" fontId="20" fillId="0" borderId="3">
      <alignment horizontal="center" vertical="center" wrapText="1"/>
    </xf>
    <xf numFmtId="49" fontId="20" fillId="0" borderId="4">
      <alignment horizontal="center" vertical="center" wrapText="1"/>
    </xf>
    <xf numFmtId="0" fontId="24" fillId="0" borderId="0"/>
    <xf numFmtId="0" fontId="1" fillId="0" borderId="0"/>
    <xf numFmtId="49" fontId="20" fillId="5" borderId="3">
      <alignment horizontal="center" vertical="center" wrapText="1"/>
    </xf>
    <xf numFmtId="164" fontId="20" fillId="0" borderId="18">
      <alignment horizontal="right" vertical="center" shrinkToFit="1"/>
    </xf>
    <xf numFmtId="164" fontId="20" fillId="0" borderId="19">
      <alignment horizontal="right" vertical="center" shrinkToFit="1"/>
    </xf>
  </cellStyleXfs>
  <cellXfs count="200">
    <xf numFmtId="0" fontId="0" fillId="0" borderId="0" xfId="0"/>
    <xf numFmtId="0" fontId="2" fillId="0" borderId="0" xfId="0" applyFont="1" applyProtection="1">
      <protection locked="0"/>
    </xf>
    <xf numFmtId="0" fontId="4" fillId="0" borderId="0" xfId="0" applyFont="1" applyProtection="1">
      <protection locked="0"/>
    </xf>
    <xf numFmtId="0" fontId="13" fillId="0" borderId="0" xfId="37" applyNumberFormat="1" applyFont="1" applyAlignment="1" applyProtection="1">
      <alignment horizontal="left" vertical="top"/>
      <protection locked="0"/>
    </xf>
    <xf numFmtId="0" fontId="2" fillId="0" borderId="0" xfId="0" applyFont="1" applyAlignment="1" applyProtection="1">
      <alignment vertical="top"/>
      <protection locked="0"/>
    </xf>
    <xf numFmtId="0" fontId="19" fillId="0" borderId="0" xfId="0" applyNumberFormat="1" applyFont="1" applyFill="1" applyBorder="1" applyAlignment="1" applyProtection="1">
      <alignment horizontal="center"/>
    </xf>
    <xf numFmtId="0" fontId="21" fillId="0" borderId="17" xfId="105" applyNumberFormat="1" applyFont="1" applyBorder="1" applyAlignment="1" applyProtection="1">
      <alignment horizontal="center" vertical="top" wrapText="1"/>
    </xf>
    <xf numFmtId="49" fontId="18" fillId="0" borderId="17" xfId="76" applyNumberFormat="1" applyFont="1" applyBorder="1" applyAlignment="1" applyProtection="1">
      <alignment horizontal="center" vertical="top" wrapText="1"/>
      <protection locked="0"/>
    </xf>
    <xf numFmtId="0" fontId="21" fillId="0" borderId="17" xfId="104" applyNumberFormat="1" applyFont="1" applyBorder="1" applyAlignment="1" applyProtection="1">
      <alignment horizontal="center" vertical="top" wrapText="1"/>
    </xf>
    <xf numFmtId="49" fontId="21" fillId="0" borderId="17" xfId="111" applyNumberFormat="1" applyFont="1" applyBorder="1" applyAlignment="1" applyProtection="1">
      <alignment horizontal="center" vertical="top" wrapText="1"/>
    </xf>
    <xf numFmtId="49" fontId="21" fillId="0" borderId="17" xfId="110" applyNumberFormat="1" applyFont="1" applyBorder="1" applyAlignment="1" applyProtection="1">
      <alignment horizontal="center" vertical="top" wrapText="1"/>
    </xf>
    <xf numFmtId="0" fontId="16" fillId="0" borderId="0" xfId="45" applyNumberFormat="1" applyFont="1" applyBorder="1" applyAlignment="1" applyProtection="1">
      <alignment vertical="top" wrapText="1"/>
      <protection locked="0"/>
    </xf>
    <xf numFmtId="49" fontId="18" fillId="0" borderId="0" xfId="76" applyNumberFormat="1" applyFont="1" applyBorder="1" applyAlignment="1" applyProtection="1">
      <alignment horizontal="center" vertical="top" wrapText="1"/>
      <protection locked="0"/>
    </xf>
    <xf numFmtId="4" fontId="16" fillId="0" borderId="17" xfId="96" applyNumberFormat="1" applyFont="1" applyBorder="1" applyAlignment="1" applyProtection="1">
      <alignment horizontal="right" vertical="top" shrinkToFit="1"/>
      <protection locked="0"/>
    </xf>
    <xf numFmtId="49" fontId="16" fillId="0" borderId="17" xfId="44" applyNumberFormat="1" applyFont="1" applyFill="1" applyBorder="1" applyAlignment="1" applyProtection="1">
      <alignment horizontal="center" vertical="top" shrinkToFit="1"/>
    </xf>
    <xf numFmtId="49" fontId="16" fillId="0" borderId="17" xfId="41" applyNumberFormat="1" applyFont="1" applyBorder="1" applyAlignment="1" applyProtection="1">
      <alignment horizontal="center" vertical="top" shrinkToFit="1"/>
    </xf>
    <xf numFmtId="49" fontId="3" fillId="0" borderId="17" xfId="41" applyNumberFormat="1" applyFont="1" applyBorder="1" applyAlignment="1" applyProtection="1">
      <alignment horizontal="center" vertical="top" shrinkToFit="1"/>
    </xf>
    <xf numFmtId="164" fontId="3" fillId="0" borderId="0" xfId="0" applyNumberFormat="1" applyFont="1" applyProtection="1">
      <protection locked="0"/>
    </xf>
    <xf numFmtId="49" fontId="16" fillId="0" borderId="0" xfId="76" applyNumberFormat="1" applyFont="1" applyBorder="1" applyAlignment="1" applyProtection="1">
      <alignment horizontal="center" vertical="top" wrapText="1"/>
      <protection locked="0"/>
    </xf>
    <xf numFmtId="49" fontId="16" fillId="0" borderId="17" xfId="76" applyNumberFormat="1" applyFont="1" applyBorder="1" applyAlignment="1" applyProtection="1">
      <alignment horizontal="center" vertical="top" wrapText="1"/>
      <protection locked="0"/>
    </xf>
    <xf numFmtId="0" fontId="21" fillId="0" borderId="17" xfId="0" applyFont="1" applyFill="1" applyBorder="1" applyAlignment="1">
      <alignment horizontal="center" vertical="top" wrapText="1"/>
    </xf>
    <xf numFmtId="14" fontId="21" fillId="0" borderId="17" xfId="0" applyNumberFormat="1" applyFont="1" applyFill="1" applyBorder="1" applyAlignment="1">
      <alignment horizontal="center" vertical="top" wrapText="1"/>
    </xf>
    <xf numFmtId="0" fontId="28" fillId="2" borderId="17" xfId="51" applyNumberFormat="1" applyFont="1" applyBorder="1" applyAlignment="1" applyProtection="1">
      <alignment horizontal="left" vertical="top" shrinkToFit="1"/>
    </xf>
    <xf numFmtId="0" fontId="21" fillId="2" borderId="17" xfId="50" applyNumberFormat="1" applyFont="1" applyBorder="1" applyAlignment="1" applyProtection="1">
      <alignment horizontal="left" vertical="top" wrapText="1"/>
    </xf>
    <xf numFmtId="0" fontId="21" fillId="2" borderId="17" xfId="50" applyNumberFormat="1" applyFont="1" applyBorder="1" applyAlignment="1" applyProtection="1">
      <alignment horizontal="center" vertical="top" wrapText="1"/>
    </xf>
    <xf numFmtId="0" fontId="21" fillId="2" borderId="17" xfId="51" applyNumberFormat="1" applyFont="1" applyBorder="1" applyAlignment="1" applyProtection="1">
      <alignment horizontal="center" vertical="top" shrinkToFit="1"/>
    </xf>
    <xf numFmtId="14" fontId="21" fillId="2" borderId="17" xfId="51" applyNumberFormat="1" applyFont="1" applyBorder="1" applyAlignment="1" applyProtection="1">
      <alignment horizontal="center" vertical="top" wrapText="1" shrinkToFit="1"/>
    </xf>
    <xf numFmtId="49" fontId="21" fillId="0" borderId="17" xfId="110" applyNumberFormat="1" applyFont="1" applyFill="1" applyBorder="1" applyAlignment="1" applyProtection="1">
      <alignment horizontal="center" vertical="top" wrapText="1"/>
    </xf>
    <xf numFmtId="0" fontId="18" fillId="0" borderId="0" xfId="80" applyNumberFormat="1" applyFont="1" applyBorder="1" applyAlignment="1" applyProtection="1">
      <alignment horizontal="center" vertical="top" wrapText="1"/>
      <protection locked="0"/>
    </xf>
    <xf numFmtId="0" fontId="18" fillId="0" borderId="0" xfId="82" applyNumberFormat="1" applyFont="1" applyBorder="1" applyAlignment="1" applyProtection="1">
      <alignment horizontal="center" vertical="top" wrapText="1"/>
      <protection locked="0"/>
    </xf>
    <xf numFmtId="0" fontId="22" fillId="0" borderId="0" xfId="82" applyNumberFormat="1" applyFont="1" applyBorder="1" applyAlignment="1" applyProtection="1">
      <alignment horizontal="center" vertical="top" wrapText="1"/>
      <protection locked="0"/>
    </xf>
    <xf numFmtId="0" fontId="18" fillId="0" borderId="0" xfId="80" applyNumberFormat="1" applyFont="1" applyAlignment="1" applyProtection="1">
      <alignment horizontal="center" vertical="top" wrapText="1"/>
      <protection locked="0"/>
    </xf>
    <xf numFmtId="0" fontId="18" fillId="0" borderId="0" xfId="0" applyNumberFormat="1" applyFont="1" applyFill="1" applyBorder="1" applyAlignment="1" applyProtection="1">
      <alignment horizontal="center" vertical="top" wrapText="1"/>
    </xf>
    <xf numFmtId="0" fontId="21" fillId="0" borderId="17" xfId="0" applyFont="1" applyBorder="1" applyAlignment="1" applyProtection="1">
      <alignment horizontal="center" vertical="top" wrapText="1"/>
      <protection locked="0"/>
    </xf>
    <xf numFmtId="0" fontId="21" fillId="0" borderId="0" xfId="0" applyFont="1" applyBorder="1" applyAlignment="1" applyProtection="1">
      <alignment horizontal="center" vertical="top" wrapText="1"/>
      <protection locked="0"/>
    </xf>
    <xf numFmtId="0" fontId="21" fillId="0" borderId="0" xfId="0" applyFont="1" applyAlignment="1" applyProtection="1">
      <alignment horizontal="center" vertical="top" wrapText="1"/>
      <protection locked="0"/>
    </xf>
    <xf numFmtId="0" fontId="21" fillId="2" borderId="17" xfId="51" applyNumberFormat="1" applyFont="1" applyBorder="1" applyAlignment="1" applyProtection="1">
      <alignment horizontal="left" vertical="top" wrapText="1" shrinkToFit="1"/>
    </xf>
    <xf numFmtId="0" fontId="21" fillId="2" borderId="17" xfId="51" applyNumberFormat="1" applyFont="1" applyBorder="1" applyAlignment="1" applyProtection="1">
      <alignment horizontal="center" vertical="top" wrapText="1" shrinkToFit="1"/>
    </xf>
    <xf numFmtId="0" fontId="18" fillId="0" borderId="17" xfId="76" applyNumberFormat="1" applyFont="1" applyBorder="1" applyAlignment="1" applyProtection="1">
      <alignment horizontal="center" vertical="top" wrapText="1"/>
      <protection locked="0"/>
    </xf>
    <xf numFmtId="49" fontId="21" fillId="0" borderId="17" xfId="76" applyNumberFormat="1" applyFont="1" applyBorder="1" applyAlignment="1" applyProtection="1">
      <alignment horizontal="center" vertical="top" wrapText="1"/>
      <protection locked="0"/>
    </xf>
    <xf numFmtId="49" fontId="29" fillId="0" borderId="17" xfId="76" applyNumberFormat="1" applyFont="1" applyBorder="1" applyAlignment="1" applyProtection="1">
      <alignment horizontal="center" vertical="top" wrapText="1"/>
      <protection locked="0"/>
    </xf>
    <xf numFmtId="49" fontId="18" fillId="4" borderId="17" xfId="76" applyNumberFormat="1" applyFont="1" applyFill="1" applyBorder="1" applyAlignment="1" applyProtection="1">
      <alignment vertical="top" wrapText="1"/>
      <protection locked="0"/>
    </xf>
    <xf numFmtId="49" fontId="18" fillId="4" borderId="17" xfId="76" applyNumberFormat="1" applyFont="1" applyFill="1" applyBorder="1" applyAlignment="1" applyProtection="1">
      <alignment horizontal="center" vertical="top" wrapText="1"/>
      <protection locked="0"/>
    </xf>
    <xf numFmtId="14" fontId="21" fillId="2" borderId="17" xfId="51" applyNumberFormat="1" applyFont="1" applyBorder="1" applyAlignment="1" applyProtection="1">
      <alignment horizontal="left" vertical="top" wrapText="1" shrinkToFit="1"/>
    </xf>
    <xf numFmtId="49" fontId="16" fillId="2" borderId="17" xfId="88" applyNumberFormat="1" applyFont="1" applyBorder="1" applyAlignment="1" applyProtection="1">
      <alignment horizontal="center" vertical="top" wrapText="1"/>
      <protection locked="0"/>
    </xf>
    <xf numFmtId="0" fontId="29" fillId="2" borderId="17" xfId="50" applyNumberFormat="1" applyFont="1" applyBorder="1" applyAlignment="1" applyProtection="1">
      <alignment horizontal="center" vertical="top" wrapText="1"/>
    </xf>
    <xf numFmtId="4" fontId="17" fillId="0" borderId="17" xfId="96" applyNumberFormat="1" applyFont="1" applyBorder="1" applyAlignment="1" applyProtection="1">
      <alignment vertical="top" shrinkToFit="1"/>
      <protection locked="0"/>
    </xf>
    <xf numFmtId="0" fontId="31" fillId="0" borderId="0" xfId="0" applyFont="1" applyProtection="1">
      <protection locked="0"/>
    </xf>
    <xf numFmtId="49" fontId="16" fillId="2" borderId="0" xfId="84" applyNumberFormat="1" applyFont="1" applyBorder="1" applyAlignment="1" applyProtection="1">
      <alignment vertical="top"/>
      <protection locked="0"/>
    </xf>
    <xf numFmtId="0" fontId="16" fillId="0" borderId="0" xfId="90" applyNumberFormat="1" applyFont="1" applyBorder="1" applyAlignment="1" applyProtection="1">
      <alignment vertical="top"/>
      <protection locked="0"/>
    </xf>
    <xf numFmtId="4" fontId="23" fillId="0" borderId="0" xfId="0" applyNumberFormat="1" applyFont="1" applyAlignment="1">
      <alignment horizontal="right" vertical="top"/>
    </xf>
    <xf numFmtId="4" fontId="16" fillId="0" borderId="17" xfId="91" applyNumberFormat="1" applyFont="1" applyFill="1" applyBorder="1" applyAlignment="1" applyProtection="1">
      <alignment vertical="top" shrinkToFit="1"/>
    </xf>
    <xf numFmtId="49" fontId="3" fillId="0" borderId="17" xfId="111" applyNumberFormat="1" applyFont="1" applyFill="1" applyBorder="1" applyAlignment="1" applyProtection="1">
      <alignment horizontal="center" vertical="top" wrapText="1"/>
    </xf>
    <xf numFmtId="4" fontId="16" fillId="0" borderId="17" xfId="92" applyNumberFormat="1" applyFont="1" applyFill="1" applyBorder="1" applyAlignment="1" applyProtection="1">
      <alignment vertical="top" shrinkToFit="1"/>
    </xf>
    <xf numFmtId="4" fontId="3" fillId="0" borderId="17" xfId="116" applyNumberFormat="1" applyFont="1" applyFill="1" applyBorder="1" applyAlignment="1" applyProtection="1">
      <alignment vertical="top" shrinkToFit="1"/>
    </xf>
    <xf numFmtId="49" fontId="3" fillId="4" borderId="17" xfId="113" applyNumberFormat="1" applyFont="1" applyFill="1" applyBorder="1" applyAlignment="1">
      <alignment horizontal="center" vertical="top" wrapText="1"/>
    </xf>
    <xf numFmtId="4" fontId="16" fillId="0" borderId="17" xfId="105" applyNumberFormat="1" applyFont="1" applyFill="1" applyBorder="1" applyAlignment="1" applyProtection="1">
      <alignment horizontal="right" vertical="top" shrinkToFit="1"/>
      <protection locked="0"/>
    </xf>
    <xf numFmtId="4" fontId="16" fillId="0" borderId="17" xfId="96" applyNumberFormat="1" applyFont="1" applyFill="1" applyBorder="1" applyAlignment="1" applyProtection="1">
      <alignment horizontal="right" vertical="top" shrinkToFit="1"/>
      <protection locked="0"/>
    </xf>
    <xf numFmtId="4" fontId="3" fillId="0" borderId="17" xfId="96" applyNumberFormat="1" applyFont="1" applyBorder="1" applyAlignment="1" applyProtection="1">
      <alignment horizontal="right" vertical="top" shrinkToFit="1"/>
      <protection locked="0"/>
    </xf>
    <xf numFmtId="49" fontId="25" fillId="2" borderId="17" xfId="88" applyNumberFormat="1" applyFont="1" applyBorder="1" applyAlignment="1" applyProtection="1">
      <alignment horizontal="center" vertical="top" wrapText="1"/>
      <protection locked="0"/>
    </xf>
    <xf numFmtId="49" fontId="25" fillId="0" borderId="17" xfId="76" applyNumberFormat="1" applyFont="1" applyBorder="1" applyAlignment="1" applyProtection="1">
      <alignment horizontal="center" vertical="top" wrapText="1"/>
      <protection locked="0"/>
    </xf>
    <xf numFmtId="4" fontId="25" fillId="0" borderId="17" xfId="96" applyNumberFormat="1" applyFont="1" applyBorder="1" applyAlignment="1" applyProtection="1">
      <alignment horizontal="right" vertical="top" shrinkToFit="1"/>
      <protection locked="0"/>
    </xf>
    <xf numFmtId="49" fontId="3" fillId="0" borderId="17" xfId="88" applyNumberFormat="1" applyFont="1" applyFill="1" applyBorder="1" applyAlignment="1" applyProtection="1">
      <alignment horizontal="center" vertical="top" wrapText="1"/>
      <protection locked="0"/>
    </xf>
    <xf numFmtId="49" fontId="3" fillId="0" borderId="17" xfId="76" applyNumberFormat="1" applyFont="1" applyFill="1" applyBorder="1" applyAlignment="1" applyProtection="1">
      <alignment horizontal="center" vertical="top" wrapText="1"/>
      <protection locked="0"/>
    </xf>
    <xf numFmtId="4" fontId="3" fillId="0" borderId="17" xfId="96" applyNumberFormat="1" applyFont="1" applyFill="1" applyBorder="1" applyAlignment="1" applyProtection="1">
      <alignment horizontal="right" vertical="top" shrinkToFit="1"/>
      <protection locked="0"/>
    </xf>
    <xf numFmtId="4" fontId="3" fillId="0" borderId="17" xfId="105" applyNumberFormat="1" applyFont="1" applyFill="1" applyBorder="1" applyAlignment="1" applyProtection="1">
      <alignment horizontal="right" vertical="top" shrinkToFit="1"/>
      <protection locked="0"/>
    </xf>
    <xf numFmtId="49" fontId="25" fillId="0" borderId="17" xfId="88" applyNumberFormat="1" applyFont="1" applyFill="1" applyBorder="1" applyAlignment="1" applyProtection="1">
      <alignment horizontal="center" vertical="top" wrapText="1"/>
      <protection locked="0"/>
    </xf>
    <xf numFmtId="49" fontId="25" fillId="0" borderId="17" xfId="76" applyNumberFormat="1" applyFont="1" applyFill="1" applyBorder="1" applyAlignment="1" applyProtection="1">
      <alignment horizontal="center" vertical="top" wrapText="1"/>
      <protection locked="0"/>
    </xf>
    <xf numFmtId="4" fontId="25" fillId="0" borderId="17" xfId="96" applyNumberFormat="1" applyFont="1" applyFill="1" applyBorder="1" applyAlignment="1" applyProtection="1">
      <alignment horizontal="right" vertical="top" shrinkToFit="1"/>
      <protection locked="0"/>
    </xf>
    <xf numFmtId="4" fontId="25" fillId="0" borderId="17" xfId="105" applyNumberFormat="1" applyFont="1" applyFill="1" applyBorder="1" applyAlignment="1" applyProtection="1">
      <alignment horizontal="right" vertical="top" shrinkToFit="1"/>
      <protection locked="0"/>
    </xf>
    <xf numFmtId="49" fontId="16" fillId="4" borderId="17" xfId="88" applyNumberFormat="1" applyFont="1" applyFill="1" applyBorder="1" applyAlignment="1" applyProtection="1">
      <alignment horizontal="center" vertical="top" wrapText="1"/>
      <protection locked="0"/>
    </xf>
    <xf numFmtId="49" fontId="16" fillId="4" borderId="17" xfId="76" applyNumberFormat="1" applyFont="1" applyFill="1" applyBorder="1" applyAlignment="1" applyProtection="1">
      <alignment horizontal="center" vertical="top" wrapText="1"/>
      <protection locked="0"/>
    </xf>
    <xf numFmtId="4" fontId="15" fillId="4" borderId="17" xfId="96" applyNumberFormat="1" applyFont="1" applyFill="1" applyBorder="1" applyAlignment="1" applyProtection="1">
      <alignment horizontal="right" vertical="top" shrinkToFit="1"/>
      <protection locked="0"/>
    </xf>
    <xf numFmtId="49" fontId="3" fillId="0" borderId="17" xfId="114" applyNumberFormat="1" applyFont="1" applyFill="1" applyBorder="1" applyAlignment="1" applyProtection="1">
      <alignment horizontal="center" vertical="top" wrapText="1"/>
    </xf>
    <xf numFmtId="49" fontId="3" fillId="0" borderId="17" xfId="110" applyNumberFormat="1" applyFont="1" applyFill="1" applyBorder="1" applyAlignment="1" applyProtection="1">
      <alignment horizontal="center" vertical="top" wrapText="1"/>
    </xf>
    <xf numFmtId="4" fontId="16" fillId="0" borderId="17" xfId="91" applyNumberFormat="1" applyFont="1" applyFill="1" applyBorder="1" applyAlignment="1" applyProtection="1">
      <alignment horizontal="right" vertical="top" shrinkToFit="1"/>
    </xf>
    <xf numFmtId="4" fontId="16" fillId="0" borderId="17" xfId="92" applyNumberFormat="1" applyFont="1" applyFill="1" applyBorder="1" applyAlignment="1" applyProtection="1">
      <alignment horizontal="right" vertical="top" shrinkToFit="1"/>
    </xf>
    <xf numFmtId="49" fontId="16" fillId="2" borderId="0" xfId="88" applyNumberFormat="1" applyFont="1" applyBorder="1" applyAlignment="1" applyProtection="1">
      <alignment horizontal="center" vertical="top" wrapText="1"/>
      <protection locked="0"/>
    </xf>
    <xf numFmtId="4" fontId="16" fillId="0" borderId="0" xfId="76" applyNumberFormat="1" applyFont="1" applyBorder="1" applyAlignment="1" applyProtection="1">
      <alignment horizontal="center" vertical="top" wrapText="1"/>
      <protection locked="0"/>
    </xf>
    <xf numFmtId="4" fontId="16" fillId="0" borderId="0" xfId="96" applyNumberFormat="1" applyFont="1" applyBorder="1" applyAlignment="1" applyProtection="1">
      <alignment horizontal="right" vertical="top" shrinkToFit="1"/>
      <protection locked="0"/>
    </xf>
    <xf numFmtId="4" fontId="16" fillId="0" borderId="0" xfId="105" applyNumberFormat="1" applyFont="1" applyBorder="1" applyAlignment="1" applyProtection="1">
      <alignment horizontal="right" vertical="top" shrinkToFit="1"/>
      <protection locked="0"/>
    </xf>
    <xf numFmtId="0" fontId="16"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horizontal="center" vertical="top"/>
    </xf>
    <xf numFmtId="4" fontId="16" fillId="0" borderId="0" xfId="92" applyNumberFormat="1" applyFont="1" applyBorder="1" applyAlignment="1" applyProtection="1">
      <alignment horizontal="center" vertical="top"/>
      <protection locked="0"/>
    </xf>
    <xf numFmtId="4" fontId="16" fillId="0" borderId="0" xfId="92" applyNumberFormat="1" applyFont="1" applyAlignment="1" applyProtection="1">
      <alignment horizontal="center" vertical="top"/>
      <protection locked="0"/>
    </xf>
    <xf numFmtId="4" fontId="3" fillId="0" borderId="0" xfId="0" applyNumberFormat="1" applyFont="1" applyAlignment="1" applyProtection="1">
      <alignment vertical="top"/>
      <protection locked="0"/>
    </xf>
    <xf numFmtId="49" fontId="16" fillId="0" borderId="0" xfId="92" applyNumberFormat="1" applyFont="1" applyBorder="1" applyAlignment="1" applyProtection="1">
      <alignment horizontal="center" vertical="top"/>
      <protection locked="0"/>
    </xf>
    <xf numFmtId="4" fontId="16" fillId="0" borderId="0" xfId="36" applyNumberFormat="1" applyFont="1" applyAlignment="1" applyProtection="1">
      <alignment vertical="top"/>
      <protection locked="0"/>
    </xf>
    <xf numFmtId="49" fontId="16" fillId="0" borderId="0" xfId="92" applyNumberFormat="1" applyFont="1" applyAlignment="1" applyProtection="1">
      <alignment horizontal="center" vertical="top"/>
      <protection locked="0"/>
    </xf>
    <xf numFmtId="4" fontId="16" fillId="0" borderId="0" xfId="80" applyNumberFormat="1" applyFont="1" applyAlignment="1" applyProtection="1">
      <alignment horizontal="center" vertical="top"/>
      <protection locked="0"/>
    </xf>
    <xf numFmtId="4" fontId="16" fillId="0" borderId="0" xfId="107" applyNumberFormat="1" applyFont="1" applyAlignment="1" applyProtection="1">
      <alignment horizontal="center" vertical="top"/>
      <protection locked="0"/>
    </xf>
    <xf numFmtId="0" fontId="3" fillId="0" borderId="0" xfId="0" applyFont="1" applyAlignment="1" applyProtection="1">
      <alignment vertical="top"/>
      <protection locked="0"/>
    </xf>
    <xf numFmtId="0" fontId="21" fillId="0" borderId="0" xfId="0" applyFont="1" applyProtection="1">
      <protection locked="0"/>
    </xf>
    <xf numFmtId="0" fontId="21"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4" fillId="0" borderId="0" xfId="0" applyFont="1" applyBorder="1" applyProtection="1">
      <protection locked="0"/>
    </xf>
    <xf numFmtId="4" fontId="15" fillId="6" borderId="17" xfId="96" applyNumberFormat="1" applyFont="1" applyFill="1" applyBorder="1" applyAlignment="1" applyProtection="1">
      <alignment horizontal="right" vertical="top" shrinkToFit="1"/>
      <protection locked="0"/>
    </xf>
    <xf numFmtId="4" fontId="15" fillId="7" borderId="17" xfId="96" applyNumberFormat="1" applyFont="1" applyFill="1" applyBorder="1" applyAlignment="1" applyProtection="1">
      <alignment horizontal="right" vertical="top" shrinkToFit="1"/>
      <protection locked="0"/>
    </xf>
    <xf numFmtId="4" fontId="15" fillId="7" borderId="17" xfId="96" applyNumberFormat="1" applyFont="1" applyFill="1" applyBorder="1" applyAlignment="1" applyProtection="1">
      <alignment vertical="top" shrinkToFit="1"/>
      <protection locked="0"/>
    </xf>
    <xf numFmtId="0" fontId="5" fillId="0" borderId="0" xfId="0" applyFont="1" applyBorder="1" applyProtection="1">
      <protection locked="0"/>
    </xf>
    <xf numFmtId="49" fontId="32" fillId="0" borderId="17" xfId="0" applyNumberFormat="1" applyFont="1" applyBorder="1" applyAlignment="1">
      <alignment horizontal="center" vertical="top" wrapText="1"/>
    </xf>
    <xf numFmtId="49" fontId="3" fillId="2" borderId="17" xfId="88" applyNumberFormat="1" applyFont="1" applyBorder="1" applyAlignment="1" applyProtection="1">
      <alignment horizontal="center" vertical="top" wrapText="1"/>
      <protection locked="0"/>
    </xf>
    <xf numFmtId="49" fontId="3" fillId="0" borderId="17" xfId="76" applyNumberFormat="1" applyFont="1" applyBorder="1" applyAlignment="1" applyProtection="1">
      <alignment horizontal="center" vertical="top" wrapText="1"/>
      <protection locked="0"/>
    </xf>
    <xf numFmtId="4" fontId="15" fillId="7" borderId="17" xfId="105" applyNumberFormat="1" applyFont="1" applyFill="1" applyBorder="1" applyAlignment="1" applyProtection="1">
      <alignment horizontal="right" vertical="top" shrinkToFit="1"/>
      <protection locked="0"/>
    </xf>
    <xf numFmtId="4" fontId="16" fillId="2" borderId="0" xfId="52" applyNumberFormat="1" applyFont="1" applyAlignment="1" applyProtection="1">
      <alignment vertical="top"/>
      <protection locked="0"/>
    </xf>
    <xf numFmtId="4" fontId="18" fillId="0" borderId="17" xfId="21" applyNumberFormat="1" applyFont="1" applyBorder="1" applyAlignment="1" applyProtection="1">
      <alignment horizontal="center" vertical="center"/>
      <protection locked="0"/>
    </xf>
    <xf numFmtId="4" fontId="18" fillId="0" borderId="17" xfId="21" applyNumberFormat="1" applyFont="1" applyBorder="1" applyAlignment="1" applyProtection="1">
      <alignment horizontal="center" vertical="center" wrapText="1"/>
      <protection locked="0"/>
    </xf>
    <xf numFmtId="4" fontId="18" fillId="0" borderId="17" xfId="22" applyNumberFormat="1" applyFont="1" applyBorder="1" applyAlignment="1" applyProtection="1">
      <alignment horizontal="center" vertical="center"/>
      <protection locked="0"/>
    </xf>
    <xf numFmtId="4" fontId="16" fillId="4" borderId="17" xfId="96" applyNumberFormat="1" applyFont="1" applyFill="1" applyBorder="1" applyAlignment="1" applyProtection="1">
      <alignment horizontal="right" vertical="top" shrinkToFit="1"/>
      <protection locked="0"/>
    </xf>
    <xf numFmtId="4" fontId="3" fillId="0" borderId="17" xfId="115" applyNumberFormat="1" applyFont="1" applyFill="1" applyBorder="1" applyAlignment="1" applyProtection="1">
      <alignment vertical="top" shrinkToFit="1"/>
    </xf>
    <xf numFmtId="49" fontId="21" fillId="0" borderId="17" xfId="111" applyNumberFormat="1" applyFont="1" applyBorder="1" applyProtection="1">
      <alignment horizontal="center" vertical="center" wrapText="1"/>
    </xf>
    <xf numFmtId="49" fontId="21" fillId="0" borderId="17" xfId="110" applyNumberFormat="1" applyFont="1" applyBorder="1" applyProtection="1">
      <alignment horizontal="center" vertical="center" wrapText="1"/>
    </xf>
    <xf numFmtId="4" fontId="15" fillId="0" borderId="17" xfId="96" applyNumberFormat="1" applyFont="1" applyBorder="1" applyAlignment="1" applyProtection="1">
      <alignment horizontal="right" vertical="top" shrinkToFit="1"/>
      <protection locked="0"/>
    </xf>
    <xf numFmtId="4" fontId="15" fillId="0" borderId="17" xfId="105" applyNumberFormat="1" applyFont="1" applyBorder="1" applyAlignment="1" applyProtection="1">
      <alignment horizontal="right" vertical="top" shrinkToFit="1"/>
      <protection locked="0"/>
    </xf>
    <xf numFmtId="4" fontId="16" fillId="0" borderId="17" xfId="105" applyNumberFormat="1" applyFont="1" applyBorder="1" applyAlignment="1" applyProtection="1">
      <alignment horizontal="right" vertical="top" shrinkToFit="1"/>
      <protection locked="0"/>
    </xf>
    <xf numFmtId="4" fontId="20" fillId="0" borderId="0" xfId="0" applyNumberFormat="1" applyFont="1" applyProtection="1">
      <protection locked="0"/>
    </xf>
    <xf numFmtId="0" fontId="20" fillId="0" borderId="0" xfId="0" applyFont="1" applyProtection="1">
      <protection locked="0"/>
    </xf>
    <xf numFmtId="0" fontId="20"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0" fontId="33" fillId="0" borderId="0" xfId="0" applyFont="1" applyBorder="1" applyProtection="1">
      <protection locked="0"/>
    </xf>
    <xf numFmtId="164" fontId="20" fillId="0" borderId="0" xfId="0" applyNumberFormat="1" applyFont="1" applyProtection="1">
      <protection locked="0"/>
    </xf>
    <xf numFmtId="0" fontId="33" fillId="0" borderId="0" xfId="0" applyFont="1" applyProtection="1">
      <protection locked="0"/>
    </xf>
    <xf numFmtId="0" fontId="34" fillId="0" borderId="0" xfId="0" applyFont="1" applyBorder="1" applyProtection="1">
      <protection locked="0"/>
    </xf>
    <xf numFmtId="0" fontId="35" fillId="0" borderId="0" xfId="0" applyFont="1" applyProtection="1">
      <protection locked="0"/>
    </xf>
    <xf numFmtId="0" fontId="22" fillId="0" borderId="0" xfId="24" applyNumberFormat="1" applyFont="1" applyBorder="1" applyAlignment="1" applyProtection="1">
      <alignment horizontal="center" vertical="top" wrapText="1"/>
      <protection locked="0"/>
    </xf>
    <xf numFmtId="4" fontId="18" fillId="0" borderId="17" xfId="0" applyNumberFormat="1" applyFont="1" applyFill="1" applyBorder="1" applyAlignment="1" applyProtection="1">
      <alignment horizontal="center" vertical="center"/>
    </xf>
    <xf numFmtId="4" fontId="3" fillId="0" borderId="17" xfId="115" applyNumberFormat="1" applyFont="1" applyFill="1" applyBorder="1" applyAlignment="1" applyProtection="1">
      <alignment horizontal="right" vertical="top" shrinkToFit="1"/>
    </xf>
    <xf numFmtId="49" fontId="18" fillId="0" borderId="17" xfId="76" applyNumberFormat="1" applyFont="1" applyBorder="1" applyAlignment="1" applyProtection="1">
      <alignment horizontal="center" wrapText="1"/>
      <protection locked="0"/>
    </xf>
    <xf numFmtId="49" fontId="3" fillId="4" borderId="17" xfId="88" applyNumberFormat="1" applyFont="1" applyFill="1" applyBorder="1" applyAlignment="1" applyProtection="1">
      <alignment horizontal="center" vertical="top" wrapText="1"/>
      <protection locked="0"/>
    </xf>
    <xf numFmtId="4" fontId="15" fillId="4" borderId="17" xfId="96" applyNumberFormat="1" applyFont="1" applyFill="1" applyBorder="1" applyAlignment="1" applyProtection="1">
      <alignment vertical="top" shrinkToFit="1"/>
      <protection locked="0"/>
    </xf>
    <xf numFmtId="4" fontId="16" fillId="4" borderId="17" xfId="96" applyNumberFormat="1" applyFont="1" applyFill="1" applyBorder="1" applyAlignment="1" applyProtection="1">
      <alignment vertical="top" shrinkToFit="1"/>
      <protection locked="0"/>
    </xf>
    <xf numFmtId="0" fontId="22" fillId="0" borderId="0" xfId="80" applyNumberFormat="1" applyFont="1" applyBorder="1" applyAlignment="1" applyProtection="1">
      <alignment vertical="top" wrapText="1"/>
      <protection locked="0"/>
    </xf>
    <xf numFmtId="0" fontId="22" fillId="0" borderId="0" xfId="24" applyNumberFormat="1" applyFont="1" applyBorder="1" applyAlignment="1" applyProtection="1">
      <alignment vertical="top" wrapText="1"/>
      <protection locked="0"/>
    </xf>
    <xf numFmtId="49" fontId="18" fillId="0" borderId="17" xfId="21" applyNumberFormat="1" applyFont="1" applyBorder="1" applyAlignment="1" applyProtection="1">
      <alignment horizontal="center" vertical="center" wrapText="1"/>
      <protection locked="0"/>
    </xf>
    <xf numFmtId="0" fontId="21" fillId="0" borderId="17" xfId="74" applyNumberFormat="1" applyFont="1" applyBorder="1" applyAlignment="1" applyProtection="1">
      <alignment horizontal="center" vertical="center" wrapText="1"/>
      <protection locked="0"/>
    </xf>
    <xf numFmtId="49" fontId="16" fillId="0" borderId="17" xfId="76" applyNumberFormat="1" applyFont="1" applyFill="1" applyBorder="1" applyAlignment="1" applyProtection="1">
      <alignment horizontal="center" vertical="top" wrapText="1"/>
      <protection locked="0"/>
    </xf>
    <xf numFmtId="2" fontId="18" fillId="0" borderId="17" xfId="76" applyNumberFormat="1" applyFont="1" applyBorder="1" applyAlignment="1" applyProtection="1">
      <alignment horizontal="center" vertical="top" wrapText="1"/>
      <protection locked="0"/>
    </xf>
    <xf numFmtId="0" fontId="21" fillId="0" borderId="17" xfId="0" applyFont="1" applyBorder="1" applyAlignment="1">
      <alignment wrapText="1"/>
    </xf>
    <xf numFmtId="49" fontId="25" fillId="0" borderId="17" xfId="112" applyNumberFormat="1" applyFont="1" applyFill="1" applyBorder="1" applyAlignment="1">
      <alignment horizontal="center" vertical="top" wrapText="1"/>
    </xf>
    <xf numFmtId="49" fontId="27" fillId="0" borderId="17" xfId="76" applyNumberFormat="1" applyFont="1" applyBorder="1" applyAlignment="1" applyProtection="1">
      <alignment horizontal="center" vertical="top" wrapText="1"/>
      <protection locked="0"/>
    </xf>
    <xf numFmtId="0" fontId="21" fillId="0" borderId="17" xfId="76" applyNumberFormat="1" applyFont="1" applyBorder="1" applyAlignment="1" applyProtection="1">
      <alignment horizontal="center" vertical="top" wrapText="1"/>
      <protection locked="0"/>
    </xf>
    <xf numFmtId="0" fontId="21" fillId="0" borderId="17" xfId="105" applyNumberFormat="1" applyFont="1" applyBorder="1" applyAlignment="1" applyProtection="1">
      <alignment horizontal="center" vertical="center" wrapText="1"/>
    </xf>
    <xf numFmtId="0" fontId="21" fillId="0" borderId="17" xfId="104" applyNumberFormat="1" applyFont="1" applyBorder="1" applyAlignment="1" applyProtection="1">
      <alignment horizontal="center" vertical="center" wrapText="1"/>
    </xf>
    <xf numFmtId="49" fontId="21" fillId="0" borderId="17" xfId="111" applyNumberFormat="1" applyFont="1" applyFill="1" applyBorder="1" applyAlignment="1" applyProtection="1">
      <alignment horizontal="center" vertical="top" wrapText="1"/>
    </xf>
    <xf numFmtId="49" fontId="15" fillId="4" borderId="17" xfId="88" applyNumberFormat="1" applyFont="1" applyFill="1" applyBorder="1" applyAlignment="1" applyProtection="1">
      <alignment horizontal="center" vertical="top" wrapText="1"/>
      <protection locked="0"/>
    </xf>
    <xf numFmtId="49" fontId="15" fillId="4" borderId="17" xfId="76" applyNumberFormat="1" applyFont="1" applyFill="1" applyBorder="1" applyAlignment="1" applyProtection="1">
      <alignment horizontal="center" vertical="top" wrapText="1"/>
      <protection locked="0"/>
    </xf>
    <xf numFmtId="0" fontId="16" fillId="0" borderId="17" xfId="45" applyNumberFormat="1" applyFont="1" applyBorder="1" applyAlignment="1" applyProtection="1">
      <alignment vertical="top" wrapText="1"/>
      <protection locked="0"/>
    </xf>
    <xf numFmtId="0" fontId="3" fillId="0" borderId="17" xfId="45" applyNumberFormat="1" applyFont="1" applyBorder="1" applyAlignment="1" applyProtection="1">
      <alignment vertical="top" wrapText="1"/>
      <protection locked="0"/>
    </xf>
    <xf numFmtId="49" fontId="30" fillId="2" borderId="17" xfId="88" applyNumberFormat="1" applyFont="1" applyBorder="1" applyAlignment="1" applyProtection="1">
      <alignment horizontal="center" vertical="top" wrapText="1"/>
      <protection locked="0"/>
    </xf>
    <xf numFmtId="49" fontId="30" fillId="0" borderId="17" xfId="76" applyNumberFormat="1" applyFont="1" applyBorder="1" applyAlignment="1" applyProtection="1">
      <alignment horizontal="center" vertical="top" wrapText="1"/>
      <protection locked="0"/>
    </xf>
    <xf numFmtId="0" fontId="30" fillId="0" borderId="17" xfId="45" applyNumberFormat="1" applyFont="1" applyBorder="1" applyAlignment="1" applyProtection="1">
      <alignment vertical="top" wrapText="1"/>
      <protection locked="0"/>
    </xf>
    <xf numFmtId="0" fontId="29" fillId="0" borderId="17" xfId="105" applyNumberFormat="1" applyFont="1" applyBorder="1" applyAlignment="1" applyProtection="1">
      <alignment horizontal="center" vertical="top" wrapText="1"/>
    </xf>
    <xf numFmtId="49" fontId="29" fillId="0" borderId="17" xfId="111" applyNumberFormat="1" applyFont="1" applyBorder="1" applyAlignment="1" applyProtection="1">
      <alignment horizontal="center" vertical="top" wrapText="1"/>
    </xf>
    <xf numFmtId="4" fontId="16" fillId="0" borderId="17" xfId="96" applyNumberFormat="1" applyFont="1" applyBorder="1" applyAlignment="1" applyProtection="1">
      <alignment vertical="top" shrinkToFit="1"/>
      <protection locked="0"/>
    </xf>
    <xf numFmtId="4" fontId="16" fillId="0" borderId="17" xfId="105" applyNumberFormat="1" applyFont="1" applyBorder="1" applyAlignment="1" applyProtection="1">
      <alignment vertical="top" shrinkToFit="1"/>
      <protection locked="0"/>
    </xf>
    <xf numFmtId="4" fontId="26" fillId="0" borderId="17" xfId="96" applyNumberFormat="1" applyFont="1" applyBorder="1" applyAlignment="1" applyProtection="1">
      <alignment horizontal="right" vertical="top" shrinkToFit="1"/>
      <protection locked="0"/>
    </xf>
    <xf numFmtId="4" fontId="3" fillId="0" borderId="17" xfId="105" applyNumberFormat="1" applyFont="1" applyBorder="1" applyAlignment="1" applyProtection="1">
      <alignment horizontal="right" vertical="top" shrinkToFit="1"/>
      <protection locked="0"/>
    </xf>
    <xf numFmtId="4" fontId="25" fillId="0" borderId="17" xfId="105" applyNumberFormat="1" applyFont="1" applyBorder="1" applyAlignment="1" applyProtection="1">
      <alignment horizontal="right" vertical="top" shrinkToFit="1"/>
      <protection locked="0"/>
    </xf>
    <xf numFmtId="4" fontId="3" fillId="4" borderId="17" xfId="96" applyNumberFormat="1" applyFont="1" applyFill="1" applyBorder="1" applyAlignment="1" applyProtection="1">
      <alignment horizontal="right" vertical="top" shrinkToFit="1"/>
      <protection locked="0"/>
    </xf>
    <xf numFmtId="4" fontId="15" fillId="0" borderId="17" xfId="96" applyNumberFormat="1" applyFont="1" applyBorder="1" applyAlignment="1" applyProtection="1">
      <alignment vertical="top" shrinkToFit="1"/>
      <protection locked="0"/>
    </xf>
    <xf numFmtId="4" fontId="3" fillId="0" borderId="17" xfId="116" applyNumberFormat="1" applyFont="1" applyFill="1" applyBorder="1" applyAlignment="1" applyProtection="1">
      <alignment horizontal="right" vertical="top" shrinkToFit="1"/>
    </xf>
    <xf numFmtId="4" fontId="26" fillId="0" borderId="17" xfId="96" applyNumberFormat="1" applyFont="1" applyBorder="1" applyAlignment="1" applyProtection="1">
      <alignment vertical="top" shrinkToFit="1"/>
      <protection locked="0"/>
    </xf>
    <xf numFmtId="49" fontId="18" fillId="2" borderId="17" xfId="0" applyNumberFormat="1" applyFont="1" applyFill="1" applyBorder="1" applyAlignment="1" applyProtection="1">
      <alignment horizontal="center" vertical="center" wrapText="1"/>
    </xf>
    <xf numFmtId="0" fontId="21" fillId="0" borderId="17" xfId="43" applyNumberFormat="1" applyFont="1" applyBorder="1" applyAlignment="1" applyProtection="1">
      <alignment horizontal="center" vertical="center"/>
      <protection locked="0"/>
    </xf>
    <xf numFmtId="49" fontId="21" fillId="2" borderId="17" xfId="59" applyNumberFormat="1" applyFont="1" applyBorder="1" applyAlignment="1" applyProtection="1">
      <alignment horizontal="center" vertical="center"/>
      <protection locked="0"/>
    </xf>
    <xf numFmtId="0" fontId="21" fillId="0" borderId="17" xfId="74" applyNumberFormat="1" applyFont="1" applyBorder="1" applyAlignment="1" applyProtection="1">
      <alignment horizontal="center" vertical="center"/>
      <protection locked="0"/>
    </xf>
    <xf numFmtId="3" fontId="21" fillId="0" borderId="17" xfId="74" applyNumberFormat="1" applyFont="1" applyBorder="1" applyAlignment="1" applyProtection="1">
      <alignment horizontal="center" vertical="center"/>
      <protection locked="0"/>
    </xf>
    <xf numFmtId="4" fontId="18" fillId="0" borderId="17" xfId="22" applyNumberFormat="1" applyFont="1" applyBorder="1" applyAlignment="1" applyProtection="1">
      <alignment horizontal="center" vertical="center" wrapText="1"/>
      <protection locked="0"/>
    </xf>
    <xf numFmtId="0" fontId="37" fillId="0" borderId="0" xfId="37" applyNumberFormat="1" applyFont="1" applyAlignment="1" applyProtection="1">
      <alignment horizontal="left"/>
      <protection locked="0"/>
    </xf>
    <xf numFmtId="0" fontId="38" fillId="0" borderId="20" xfId="24" applyNumberFormat="1" applyFont="1" applyBorder="1" applyAlignment="1" applyProtection="1">
      <alignment vertical="top" wrapText="1"/>
      <protection locked="0"/>
    </xf>
    <xf numFmtId="0" fontId="38" fillId="0" borderId="0" xfId="24" applyNumberFormat="1" applyFont="1" applyBorder="1" applyAlignment="1" applyProtection="1">
      <alignment vertical="top" wrapText="1"/>
      <protection locked="0"/>
    </xf>
    <xf numFmtId="0" fontId="40" fillId="0" borderId="0" xfId="0" applyNumberFormat="1" applyFont="1" applyFill="1" applyBorder="1" applyAlignment="1" applyProtection="1">
      <alignment horizontal="center" vertical="top" wrapText="1"/>
    </xf>
    <xf numFmtId="0" fontId="15" fillId="0" borderId="0" xfId="0" applyNumberFormat="1" applyFont="1" applyFill="1" applyBorder="1" applyAlignment="1" applyProtection="1">
      <alignment vertical="top"/>
    </xf>
    <xf numFmtId="0" fontId="15" fillId="0" borderId="0" xfId="0" applyNumberFormat="1" applyFont="1" applyFill="1" applyBorder="1" applyAlignment="1" applyProtection="1">
      <alignment horizontal="center" vertical="top"/>
    </xf>
    <xf numFmtId="4" fontId="15" fillId="0" borderId="0" xfId="92" applyNumberFormat="1" applyFont="1" applyBorder="1" applyAlignment="1" applyProtection="1">
      <alignment horizontal="center" vertical="top"/>
      <protection locked="0"/>
    </xf>
    <xf numFmtId="0" fontId="37" fillId="0" borderId="0" xfId="0" applyNumberFormat="1" applyFont="1" applyFill="1" applyBorder="1" applyAlignment="1" applyProtection="1">
      <alignment horizontal="left"/>
    </xf>
    <xf numFmtId="0" fontId="38" fillId="0" borderId="0" xfId="80" applyNumberFormat="1" applyFont="1" applyBorder="1" applyAlignment="1" applyProtection="1">
      <alignment vertical="top" wrapText="1"/>
      <protection locked="0"/>
    </xf>
    <xf numFmtId="0" fontId="40" fillId="0" borderId="0" xfId="82" applyNumberFormat="1" applyFont="1" applyBorder="1" applyAlignment="1" applyProtection="1">
      <alignment horizontal="center" vertical="top" wrapText="1"/>
      <protection locked="0"/>
    </xf>
    <xf numFmtId="49" fontId="15" fillId="0" borderId="0" xfId="92" applyNumberFormat="1" applyFont="1" applyBorder="1" applyAlignment="1" applyProtection="1">
      <alignment horizontal="center" vertical="top"/>
      <protection locked="0"/>
    </xf>
    <xf numFmtId="4" fontId="15" fillId="0" borderId="0" xfId="98" applyNumberFormat="1" applyFont="1" applyBorder="1" applyAlignment="1" applyProtection="1">
      <alignment horizontal="center" vertical="top"/>
      <protection locked="0"/>
    </xf>
    <xf numFmtId="4" fontId="15" fillId="0" borderId="0" xfId="92" applyNumberFormat="1" applyFont="1" applyAlignment="1" applyProtection="1">
      <alignment horizontal="center" vertical="top"/>
      <protection locked="0"/>
    </xf>
    <xf numFmtId="4" fontId="26" fillId="0" borderId="0" xfId="0" applyNumberFormat="1" applyFont="1" applyAlignment="1" applyProtection="1">
      <alignment vertical="top"/>
      <protection locked="0"/>
    </xf>
    <xf numFmtId="0" fontId="22" fillId="0" borderId="0" xfId="80" applyNumberFormat="1" applyFont="1" applyBorder="1" applyAlignment="1" applyProtection="1">
      <alignment horizontal="center" vertical="top" wrapText="1"/>
      <protection locked="0"/>
    </xf>
    <xf numFmtId="0" fontId="39" fillId="0" borderId="20" xfId="80" applyNumberFormat="1" applyFont="1" applyBorder="1" applyAlignment="1" applyProtection="1">
      <alignment horizontal="center" wrapText="1"/>
      <protection locked="0"/>
    </xf>
    <xf numFmtId="0" fontId="39" fillId="0" borderId="20" xfId="24" applyNumberFormat="1" applyFont="1" applyBorder="1" applyAlignment="1" applyProtection="1">
      <alignment horizontal="center" vertical="top" wrapText="1"/>
      <protection locked="0"/>
    </xf>
    <xf numFmtId="0" fontId="16" fillId="0" borderId="17" xfId="45" applyNumberFormat="1" applyFont="1" applyBorder="1" applyAlignment="1" applyProtection="1">
      <alignment horizontal="left" vertical="top" wrapText="1"/>
      <protection locked="0"/>
    </xf>
    <xf numFmtId="0" fontId="15" fillId="0" borderId="17" xfId="45" applyNumberFormat="1" applyFont="1" applyBorder="1" applyAlignment="1" applyProtection="1">
      <alignment horizontal="left" vertical="top" wrapText="1"/>
      <protection locked="0"/>
    </xf>
    <xf numFmtId="0" fontId="15" fillId="7" borderId="17" xfId="45" applyNumberFormat="1" applyFont="1" applyFill="1" applyBorder="1" applyAlignment="1" applyProtection="1">
      <alignment horizontal="left" vertical="top" wrapText="1"/>
      <protection locked="0"/>
    </xf>
    <xf numFmtId="0" fontId="17" fillId="0" borderId="17" xfId="45" applyNumberFormat="1" applyFont="1" applyBorder="1" applyAlignment="1" applyProtection="1">
      <alignment horizontal="left" vertical="top" wrapText="1"/>
      <protection locked="0"/>
    </xf>
    <xf numFmtId="4" fontId="16" fillId="0" borderId="0" xfId="0" applyNumberFormat="1" applyFont="1" applyFill="1" applyBorder="1" applyAlignment="1" applyProtection="1">
      <alignment horizontal="center" vertical="top"/>
    </xf>
    <xf numFmtId="49" fontId="18" fillId="0" borderId="17" xfId="0" applyNumberFormat="1" applyFont="1" applyFill="1" applyBorder="1" applyAlignment="1" applyProtection="1">
      <alignment horizontal="center" vertical="top" wrapText="1"/>
    </xf>
    <xf numFmtId="49" fontId="18" fillId="2" borderId="17" xfId="0" applyNumberFormat="1" applyFont="1" applyFill="1" applyBorder="1" applyAlignment="1" applyProtection="1">
      <alignment horizontal="center" vertical="top" wrapText="1"/>
    </xf>
    <xf numFmtId="0" fontId="18" fillId="0" borderId="17" xfId="0" applyNumberFormat="1" applyFont="1" applyFill="1" applyBorder="1" applyAlignment="1" applyProtection="1">
      <alignment horizontal="center" vertical="top" wrapText="1"/>
    </xf>
    <xf numFmtId="4" fontId="18" fillId="0" borderId="17" xfId="0" applyNumberFormat="1" applyFont="1" applyFill="1" applyBorder="1" applyAlignment="1" applyProtection="1">
      <alignment horizontal="center" vertical="top"/>
    </xf>
    <xf numFmtId="4" fontId="18" fillId="0" borderId="17" xfId="0" applyNumberFormat="1" applyFont="1" applyFill="1" applyBorder="1" applyAlignment="1" applyProtection="1">
      <alignment horizontal="center" vertical="center"/>
    </xf>
    <xf numFmtId="0" fontId="14" fillId="2" borderId="0" xfId="0" applyNumberFormat="1" applyFont="1" applyFill="1" applyBorder="1" applyAlignment="1" applyProtection="1">
      <alignment horizontal="center" wrapText="1"/>
    </xf>
    <xf numFmtId="0" fontId="13" fillId="0" borderId="0" xfId="0" applyNumberFormat="1" applyFont="1" applyFill="1" applyBorder="1" applyAlignment="1" applyProtection="1">
      <alignment horizontal="left"/>
    </xf>
    <xf numFmtId="0" fontId="18" fillId="0" borderId="17" xfId="0" applyNumberFormat="1" applyFont="1" applyFill="1" applyBorder="1" applyAlignment="1" applyProtection="1">
      <alignment horizontal="center" vertical="center" wrapText="1"/>
    </xf>
    <xf numFmtId="0" fontId="36" fillId="2" borderId="0" xfId="0" applyNumberFormat="1" applyFont="1" applyFill="1" applyBorder="1" applyAlignment="1" applyProtection="1">
      <alignment horizontal="center" wrapText="1"/>
    </xf>
    <xf numFmtId="0" fontId="15" fillId="6" borderId="17" xfId="45" applyNumberFormat="1" applyFont="1" applyFill="1" applyBorder="1" applyAlignment="1" applyProtection="1">
      <alignment horizontal="left" vertical="top" wrapText="1"/>
      <protection locked="0"/>
    </xf>
  </cellXfs>
  <cellStyles count="117">
    <cellStyle name="br" xfId="1"/>
    <cellStyle name="col" xfId="2"/>
    <cellStyle name="st107" xfId="3"/>
    <cellStyle name="st108" xfId="4"/>
    <cellStyle name="st117" xfId="110"/>
    <cellStyle name="st118" xfId="114"/>
    <cellStyle name="st120" xfId="111"/>
    <cellStyle name="style0" xfId="5"/>
    <cellStyle name="td" xfId="6"/>
    <cellStyle name="tr" xfId="7"/>
    <cellStyle name="xl100" xfId="8"/>
    <cellStyle name="xl101" xfId="9"/>
    <cellStyle name="xl102" xfId="10"/>
    <cellStyle name="xl103" xfId="11"/>
    <cellStyle name="xl104" xfId="12"/>
    <cellStyle name="xl105" xfId="13"/>
    <cellStyle name="xl106" xfId="14"/>
    <cellStyle name="xl107" xfId="15"/>
    <cellStyle name="xl108" xfId="16"/>
    <cellStyle name="xl109" xfId="17"/>
    <cellStyle name="xl110" xfId="18"/>
    <cellStyle name="xl111" xfId="19"/>
    <cellStyle name="xl112" xfId="20"/>
    <cellStyle name="xl113" xfId="21"/>
    <cellStyle name="xl114" xfId="22"/>
    <cellStyle name="xl115" xfId="23"/>
    <cellStyle name="xl116" xfId="24"/>
    <cellStyle name="xl117" xfId="25"/>
    <cellStyle name="xl118" xfId="26"/>
    <cellStyle name="xl119" xfId="27"/>
    <cellStyle name="xl120" xfId="28"/>
    <cellStyle name="xl121" xfId="29"/>
    <cellStyle name="xl122" xfId="30"/>
    <cellStyle name="xl129" xfId="115"/>
    <cellStyle name="xl130" xfId="116"/>
    <cellStyle name="xl21" xfId="31"/>
    <cellStyle name="xl22" xfId="32"/>
    <cellStyle name="xl23" xfId="33"/>
    <cellStyle name="xl24" xfId="34"/>
    <cellStyle name="xl25" xfId="35"/>
    <cellStyle name="xl26" xfId="36"/>
    <cellStyle name="xl27" xfId="37"/>
    <cellStyle name="xl28" xfId="38"/>
    <cellStyle name="xl29" xfId="39"/>
    <cellStyle name="xl30" xfId="40"/>
    <cellStyle name="xl31" xfId="41"/>
    <cellStyle name="xl32" xfId="42"/>
    <cellStyle name="xl33" xfId="43"/>
    <cellStyle name="xl34" xfId="44"/>
    <cellStyle name="xl35" xfId="45"/>
    <cellStyle name="xl36" xfId="46"/>
    <cellStyle name="xl37" xfId="47"/>
    <cellStyle name="xl38" xfId="48"/>
    <cellStyle name="xl39" xfId="49"/>
    <cellStyle name="xl40" xfId="50"/>
    <cellStyle name="xl41" xfId="51"/>
    <cellStyle name="xl42" xfId="52"/>
    <cellStyle name="xl43" xfId="53"/>
    <cellStyle name="xl44" xfId="54"/>
    <cellStyle name="xl45" xfId="55"/>
    <cellStyle name="xl46" xfId="56"/>
    <cellStyle name="xl47" xfId="57"/>
    <cellStyle name="xl48" xfId="58"/>
    <cellStyle name="xl49" xfId="59"/>
    <cellStyle name="xl50" xfId="60"/>
    <cellStyle name="xl51" xfId="61"/>
    <cellStyle name="xl52" xfId="62"/>
    <cellStyle name="xl53" xfId="63"/>
    <cellStyle name="xl54" xfId="64"/>
    <cellStyle name="xl55" xfId="65"/>
    <cellStyle name="xl56" xfId="66"/>
    <cellStyle name="xl57" xfId="67"/>
    <cellStyle name="xl58" xfId="68"/>
    <cellStyle name="xl59" xfId="69"/>
    <cellStyle name="xl60" xfId="70"/>
    <cellStyle name="xl61" xfId="71"/>
    <cellStyle name="xl62" xfId="72"/>
    <cellStyle name="xl63" xfId="73"/>
    <cellStyle name="xl64" xfId="74"/>
    <cellStyle name="xl65" xfId="75"/>
    <cellStyle name="xl66" xfId="76"/>
    <cellStyle name="xl67" xfId="77"/>
    <cellStyle name="xl68" xfId="78"/>
    <cellStyle name="xl69" xfId="79"/>
    <cellStyle name="xl70" xfId="80"/>
    <cellStyle name="xl71" xfId="81"/>
    <cellStyle name="xl72" xfId="82"/>
    <cellStyle name="xl73" xfId="83"/>
    <cellStyle name="xl74" xfId="84"/>
    <cellStyle name="xl75" xfId="85"/>
    <cellStyle name="xl76" xfId="86"/>
    <cellStyle name="xl77" xfId="87"/>
    <cellStyle name="xl78" xfId="88"/>
    <cellStyle name="xl79" xfId="89"/>
    <cellStyle name="xl80" xfId="90"/>
    <cellStyle name="xl81" xfId="91"/>
    <cellStyle name="xl82" xfId="92"/>
    <cellStyle name="xl83" xfId="93"/>
    <cellStyle name="xl84" xfId="94"/>
    <cellStyle name="xl85" xfId="95"/>
    <cellStyle name="xl86" xfId="96"/>
    <cellStyle name="xl87" xfId="97"/>
    <cellStyle name="xl88" xfId="98"/>
    <cellStyle name="xl89" xfId="99"/>
    <cellStyle name="xl90" xfId="100"/>
    <cellStyle name="xl91" xfId="101"/>
    <cellStyle name="xl92" xfId="102"/>
    <cellStyle name="xl93" xfId="103"/>
    <cellStyle name="xl94" xfId="104"/>
    <cellStyle name="xl95" xfId="105"/>
    <cellStyle name="xl96" xfId="106"/>
    <cellStyle name="xl97" xfId="107"/>
    <cellStyle name="xl98" xfId="108"/>
    <cellStyle name="xl99" xfId="109"/>
    <cellStyle name="Обычный" xfId="0" builtinId="0"/>
    <cellStyle name="Обычный 2" xfId="112"/>
    <cellStyle name="Обычный 3" xfId="113"/>
  </cellStyles>
  <dxfs count="0"/>
  <tableStyles count="0"/>
  <colors>
    <mruColors>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D361"/>
  <sheetViews>
    <sheetView tabSelected="1" zoomScale="130" workbookViewId="0">
      <pane xSplit="1" ySplit="9" topLeftCell="I315" activePane="bottomRight" state="frozen"/>
      <selection pane="topRight" activeCell="B1" sqref="B1"/>
      <selection pane="bottomLeft" activeCell="A10" sqref="A10"/>
      <selection pane="bottomRight" activeCell="V329" sqref="V329"/>
    </sheetView>
  </sheetViews>
  <sheetFormatPr defaultRowHeight="15" x14ac:dyDescent="0.25"/>
  <cols>
    <col min="1" max="1" width="22.7109375" style="4" customWidth="1"/>
    <col min="2" max="2" width="23.42578125" style="34" customWidth="1"/>
    <col min="3" max="3" width="7.28515625" style="34" customWidth="1"/>
    <col min="4" max="4" width="8" style="34" customWidth="1"/>
    <col min="5" max="5" width="23.140625" style="34" customWidth="1"/>
    <col min="6" max="6" width="10.28515625" style="34" customWidth="1"/>
    <col min="7" max="7" width="9.140625" style="34" customWidth="1"/>
    <col min="8" max="8" width="23.7109375" style="35" customWidth="1"/>
    <col min="9" max="9" width="9.140625" style="35" customWidth="1"/>
    <col min="10" max="10" width="7.5703125" style="35" customWidth="1"/>
    <col min="11" max="11" width="5.140625" style="91" customWidth="1"/>
    <col min="12" max="12" width="3.5703125" style="91" customWidth="1"/>
    <col min="13" max="13" width="13.42578125" style="91" customWidth="1"/>
    <col min="14" max="14" width="5.140625" style="91" customWidth="1"/>
    <col min="15" max="20" width="10.5703125" style="85" customWidth="1"/>
    <col min="21" max="21" width="11.7109375" style="116" bestFit="1" customWidth="1"/>
    <col min="22" max="22" width="10" style="116" bestFit="1" customWidth="1"/>
    <col min="23" max="16384" width="9.140625" style="1"/>
  </cols>
  <sheetData>
    <row r="1" spans="1:22" x14ac:dyDescent="0.25">
      <c r="A1" s="195" t="s">
        <v>150</v>
      </c>
      <c r="B1" s="195"/>
      <c r="C1" s="195"/>
      <c r="D1" s="195"/>
      <c r="E1" s="195"/>
      <c r="F1" s="195"/>
      <c r="G1" s="195"/>
      <c r="H1" s="195"/>
      <c r="I1" s="195"/>
      <c r="J1" s="195"/>
      <c r="K1" s="195"/>
      <c r="L1" s="195"/>
      <c r="M1" s="195"/>
      <c r="N1" s="195"/>
      <c r="O1" s="195"/>
      <c r="P1" s="195"/>
      <c r="Q1" s="195"/>
      <c r="R1" s="195"/>
      <c r="S1" s="195"/>
      <c r="T1" s="104"/>
    </row>
    <row r="2" spans="1:22" ht="10.5" customHeight="1" x14ac:dyDescent="0.25">
      <c r="A2" s="198"/>
      <c r="B2" s="198"/>
      <c r="C2" s="198"/>
      <c r="D2" s="198"/>
      <c r="E2" s="198"/>
      <c r="F2" s="198"/>
      <c r="G2" s="198"/>
      <c r="H2" s="198"/>
      <c r="I2" s="198"/>
      <c r="J2" s="198"/>
      <c r="K2" s="198"/>
      <c r="L2" s="198"/>
      <c r="M2" s="198"/>
      <c r="N2" s="198"/>
      <c r="O2" s="198"/>
      <c r="P2" s="198"/>
      <c r="Q2" s="198"/>
      <c r="R2" s="198"/>
      <c r="S2" s="198"/>
      <c r="T2" s="198"/>
    </row>
    <row r="3" spans="1:22" x14ac:dyDescent="0.25">
      <c r="A3" s="196" t="s">
        <v>53</v>
      </c>
      <c r="B3" s="196"/>
      <c r="C3" s="196"/>
      <c r="D3" s="196"/>
      <c r="E3" s="196"/>
      <c r="F3" s="196"/>
      <c r="G3" s="196"/>
      <c r="H3" s="32"/>
      <c r="I3" s="32"/>
      <c r="J3" s="32"/>
      <c r="K3" s="48"/>
      <c r="L3" s="49"/>
      <c r="M3" s="49"/>
      <c r="N3" s="49"/>
      <c r="O3" s="50"/>
      <c r="P3" s="50"/>
      <c r="Q3" s="50"/>
      <c r="R3" s="50"/>
      <c r="S3" s="50"/>
      <c r="T3" s="50"/>
    </row>
    <row r="4" spans="1:22" s="92" customFormat="1" ht="11.25" x14ac:dyDescent="0.2">
      <c r="A4" s="197" t="s">
        <v>55</v>
      </c>
      <c r="B4" s="192" t="s">
        <v>52</v>
      </c>
      <c r="C4" s="192"/>
      <c r="D4" s="192"/>
      <c r="E4" s="192"/>
      <c r="F4" s="192"/>
      <c r="G4" s="192"/>
      <c r="H4" s="192"/>
      <c r="I4" s="192"/>
      <c r="J4" s="192"/>
      <c r="K4" s="191" t="s">
        <v>0</v>
      </c>
      <c r="L4" s="191"/>
      <c r="M4" s="191"/>
      <c r="N4" s="191"/>
      <c r="O4" s="193" t="s">
        <v>1</v>
      </c>
      <c r="P4" s="193"/>
      <c r="Q4" s="193"/>
      <c r="R4" s="193"/>
      <c r="S4" s="193"/>
      <c r="T4" s="193"/>
      <c r="U4" s="116"/>
      <c r="V4" s="116"/>
    </row>
    <row r="5" spans="1:22" s="92" customFormat="1" ht="11.25" x14ac:dyDescent="0.2">
      <c r="A5" s="197"/>
      <c r="B5" s="190" t="s">
        <v>2</v>
      </c>
      <c r="C5" s="190"/>
      <c r="D5" s="190"/>
      <c r="E5" s="190" t="s">
        <v>3</v>
      </c>
      <c r="F5" s="190"/>
      <c r="G5" s="190"/>
      <c r="H5" s="190" t="s">
        <v>49</v>
      </c>
      <c r="I5" s="190"/>
      <c r="J5" s="190"/>
      <c r="K5" s="191"/>
      <c r="L5" s="191"/>
      <c r="M5" s="191"/>
      <c r="N5" s="191"/>
      <c r="O5" s="194" t="s">
        <v>156</v>
      </c>
      <c r="P5" s="194"/>
      <c r="Q5" s="105" t="s">
        <v>4</v>
      </c>
      <c r="R5" s="105" t="s">
        <v>5</v>
      </c>
      <c r="S5" s="194" t="s">
        <v>6</v>
      </c>
      <c r="T5" s="194"/>
      <c r="U5" s="116"/>
      <c r="V5" s="116"/>
    </row>
    <row r="6" spans="1:22" s="93" customFormat="1" ht="33" customHeight="1" x14ac:dyDescent="0.25">
      <c r="A6" s="197"/>
      <c r="B6" s="133" t="s">
        <v>54</v>
      </c>
      <c r="C6" s="133" t="s">
        <v>50</v>
      </c>
      <c r="D6" s="133" t="s">
        <v>51</v>
      </c>
      <c r="E6" s="133" t="s">
        <v>54</v>
      </c>
      <c r="F6" s="133" t="s">
        <v>50</v>
      </c>
      <c r="G6" s="133" t="s">
        <v>51</v>
      </c>
      <c r="H6" s="133" t="s">
        <v>54</v>
      </c>
      <c r="I6" s="133" t="s">
        <v>50</v>
      </c>
      <c r="J6" s="133" t="s">
        <v>51</v>
      </c>
      <c r="K6" s="162" t="s">
        <v>7</v>
      </c>
      <c r="L6" s="162" t="s">
        <v>460</v>
      </c>
      <c r="M6" s="162" t="s">
        <v>48</v>
      </c>
      <c r="N6" s="162" t="s">
        <v>56</v>
      </c>
      <c r="O6" s="106" t="s">
        <v>8</v>
      </c>
      <c r="P6" s="106" t="s">
        <v>548</v>
      </c>
      <c r="Q6" s="167" t="s">
        <v>549</v>
      </c>
      <c r="R6" s="107" t="s">
        <v>157</v>
      </c>
      <c r="S6" s="125" t="s">
        <v>158</v>
      </c>
      <c r="T6" s="125" t="s">
        <v>159</v>
      </c>
      <c r="U6" s="117"/>
      <c r="V6" s="117"/>
    </row>
    <row r="7" spans="1:22" s="94" customFormat="1" ht="11.25" x14ac:dyDescent="0.25">
      <c r="A7" s="163">
        <v>1</v>
      </c>
      <c r="B7" s="134">
        <v>3</v>
      </c>
      <c r="C7" s="134">
        <v>4</v>
      </c>
      <c r="D7" s="134">
        <v>5</v>
      </c>
      <c r="E7" s="134">
        <v>6</v>
      </c>
      <c r="F7" s="134">
        <v>7</v>
      </c>
      <c r="G7" s="134">
        <v>8</v>
      </c>
      <c r="H7" s="134">
        <v>9</v>
      </c>
      <c r="I7" s="134">
        <v>10</v>
      </c>
      <c r="J7" s="134">
        <v>11</v>
      </c>
      <c r="K7" s="164" t="s">
        <v>18</v>
      </c>
      <c r="L7" s="165">
        <v>13</v>
      </c>
      <c r="M7" s="165">
        <v>14</v>
      </c>
      <c r="N7" s="165">
        <v>15</v>
      </c>
      <c r="O7" s="166">
        <v>16</v>
      </c>
      <c r="P7" s="166">
        <v>17</v>
      </c>
      <c r="Q7" s="166">
        <v>18</v>
      </c>
      <c r="R7" s="166">
        <v>19</v>
      </c>
      <c r="S7" s="166">
        <v>20</v>
      </c>
      <c r="T7" s="166">
        <v>21</v>
      </c>
      <c r="U7" s="118"/>
      <c r="V7" s="118"/>
    </row>
    <row r="8" spans="1:22" s="95" customFormat="1" ht="14.25" x14ac:dyDescent="0.2">
      <c r="A8" s="199" t="s">
        <v>11</v>
      </c>
      <c r="B8" s="199"/>
      <c r="C8" s="199"/>
      <c r="D8" s="199"/>
      <c r="E8" s="199"/>
      <c r="F8" s="199"/>
      <c r="G8" s="199"/>
      <c r="H8" s="199"/>
      <c r="I8" s="199"/>
      <c r="J8" s="199"/>
      <c r="K8" s="199"/>
      <c r="L8" s="199"/>
      <c r="M8" s="199"/>
      <c r="N8" s="199"/>
      <c r="O8" s="96">
        <f t="shared" ref="O8:T8" si="0">O9+O206+O296+O321+O323+O324</f>
        <v>2558127945.9200006</v>
      </c>
      <c r="P8" s="96">
        <f t="shared" si="0"/>
        <v>2486230477.2299995</v>
      </c>
      <c r="Q8" s="96">
        <f t="shared" si="0"/>
        <v>2517826377.3500004</v>
      </c>
      <c r="R8" s="96">
        <f t="shared" si="0"/>
        <v>2462204027.8299999</v>
      </c>
      <c r="S8" s="96">
        <f t="shared" si="0"/>
        <v>2403704322.0599999</v>
      </c>
      <c r="T8" s="96">
        <f t="shared" si="0"/>
        <v>2388208961.46</v>
      </c>
      <c r="U8" s="119"/>
      <c r="V8" s="119"/>
    </row>
    <row r="9" spans="1:22" s="95" customFormat="1" ht="14.25" x14ac:dyDescent="0.2">
      <c r="A9" s="187" t="s">
        <v>12</v>
      </c>
      <c r="B9" s="187"/>
      <c r="C9" s="187"/>
      <c r="D9" s="187"/>
      <c r="E9" s="187"/>
      <c r="F9" s="187"/>
      <c r="G9" s="187"/>
      <c r="H9" s="187"/>
      <c r="I9" s="187"/>
      <c r="J9" s="187"/>
      <c r="K9" s="187"/>
      <c r="L9" s="187"/>
      <c r="M9" s="187"/>
      <c r="N9" s="187"/>
      <c r="O9" s="97">
        <f t="shared" ref="O9:T9" si="1">O10+O23+O36+O46+O51+O54+O110+O119+O142+O148+O151+O157+O159+O192+O198+O203+O184+O178</f>
        <v>1364752378.5100002</v>
      </c>
      <c r="P9" s="97">
        <f t="shared" si="1"/>
        <v>1314425084.6199999</v>
      </c>
      <c r="Q9" s="97">
        <f t="shared" si="1"/>
        <v>1326937225.5200002</v>
      </c>
      <c r="R9" s="97">
        <f t="shared" si="1"/>
        <v>1250094797.1899998</v>
      </c>
      <c r="S9" s="97">
        <f t="shared" si="1"/>
        <v>1191725730.51</v>
      </c>
      <c r="T9" s="97">
        <f t="shared" si="1"/>
        <v>1199406903.75</v>
      </c>
      <c r="U9" s="119"/>
      <c r="V9" s="119"/>
    </row>
    <row r="10" spans="1:22" ht="49.5" x14ac:dyDescent="0.25">
      <c r="A10" s="185" t="s">
        <v>13</v>
      </c>
      <c r="B10" s="7" t="s">
        <v>57</v>
      </c>
      <c r="C10" s="9" t="s">
        <v>60</v>
      </c>
      <c r="D10" s="9" t="s">
        <v>61</v>
      </c>
      <c r="E10" s="6" t="s">
        <v>397</v>
      </c>
      <c r="F10" s="9" t="s">
        <v>399</v>
      </c>
      <c r="G10" s="9" t="s">
        <v>398</v>
      </c>
      <c r="H10" s="7" t="s">
        <v>395</v>
      </c>
      <c r="I10" s="7" t="s">
        <v>404</v>
      </c>
      <c r="J10" s="7" t="s">
        <v>396</v>
      </c>
      <c r="K10" s="14"/>
      <c r="L10" s="14"/>
      <c r="M10" s="14"/>
      <c r="N10" s="135"/>
      <c r="O10" s="112">
        <f t="shared" ref="O10:T10" si="2">SUM(O11:O22)</f>
        <v>13167264.720000001</v>
      </c>
      <c r="P10" s="112">
        <f t="shared" si="2"/>
        <v>12958521.749999998</v>
      </c>
      <c r="Q10" s="112">
        <f t="shared" si="2"/>
        <v>12998284</v>
      </c>
      <c r="R10" s="112">
        <f t="shared" si="2"/>
        <v>11895239.880000001</v>
      </c>
      <c r="S10" s="112">
        <f t="shared" si="2"/>
        <v>11844839.880000001</v>
      </c>
      <c r="T10" s="112">
        <f t="shared" si="2"/>
        <v>11844614.880000001</v>
      </c>
    </row>
    <row r="11" spans="1:22" ht="49.5" x14ac:dyDescent="0.25">
      <c r="A11" s="185"/>
      <c r="B11" s="8" t="s">
        <v>400</v>
      </c>
      <c r="C11" s="10" t="s">
        <v>58</v>
      </c>
      <c r="D11" s="10" t="s">
        <v>59</v>
      </c>
      <c r="E11" s="6"/>
      <c r="F11" s="9"/>
      <c r="G11" s="9"/>
      <c r="H11" s="7" t="s">
        <v>151</v>
      </c>
      <c r="I11" s="7"/>
      <c r="J11" s="7" t="s">
        <v>477</v>
      </c>
      <c r="K11" s="14" t="s">
        <v>152</v>
      </c>
      <c r="L11" s="14" t="s">
        <v>153</v>
      </c>
      <c r="M11" s="14" t="s">
        <v>154</v>
      </c>
      <c r="N11" s="135" t="s">
        <v>155</v>
      </c>
      <c r="O11" s="13">
        <v>11021949.98</v>
      </c>
      <c r="P11" s="13">
        <v>10947107.27</v>
      </c>
      <c r="Q11" s="13">
        <f>10987284</f>
        <v>10987284</v>
      </c>
      <c r="R11" s="13">
        <f>10101820-164205.12+1425</f>
        <v>9939039.8800000008</v>
      </c>
      <c r="S11" s="13">
        <f>10100620-162780.12</f>
        <v>9937839.8800000008</v>
      </c>
      <c r="T11" s="114">
        <f>10100395-162780.12</f>
        <v>9937614.8800000008</v>
      </c>
    </row>
    <row r="12" spans="1:22" ht="41.25" x14ac:dyDescent="0.25">
      <c r="A12" s="185"/>
      <c r="B12" s="6" t="s">
        <v>65</v>
      </c>
      <c r="C12" s="9" t="s">
        <v>58</v>
      </c>
      <c r="D12" s="9" t="s">
        <v>405</v>
      </c>
      <c r="E12" s="6"/>
      <c r="F12" s="9"/>
      <c r="G12" s="9"/>
      <c r="H12" s="7" t="s">
        <v>171</v>
      </c>
      <c r="I12" s="7" t="s">
        <v>412</v>
      </c>
      <c r="J12" s="37" t="s">
        <v>407</v>
      </c>
      <c r="K12" s="44" t="s">
        <v>152</v>
      </c>
      <c r="L12" s="19" t="s">
        <v>160</v>
      </c>
      <c r="M12" s="19" t="s">
        <v>161</v>
      </c>
      <c r="N12" s="19" t="s">
        <v>162</v>
      </c>
      <c r="O12" s="13">
        <v>729431.5</v>
      </c>
      <c r="P12" s="13">
        <v>692145.44</v>
      </c>
      <c r="Q12" s="13">
        <v>693000</v>
      </c>
      <c r="R12" s="13">
        <f>618800-24800</f>
        <v>594000</v>
      </c>
      <c r="S12" s="13">
        <f>341500+174100</f>
        <v>515600</v>
      </c>
      <c r="T12" s="114">
        <f>341500+174100</f>
        <v>515600</v>
      </c>
      <c r="U12" s="115"/>
      <c r="V12" s="115"/>
    </row>
    <row r="13" spans="1:22" ht="49.5" x14ac:dyDescent="0.25">
      <c r="A13" s="185"/>
      <c r="B13" s="6" t="s">
        <v>67</v>
      </c>
      <c r="C13" s="9" t="s">
        <v>58</v>
      </c>
      <c r="D13" s="9" t="s">
        <v>68</v>
      </c>
      <c r="E13" s="6"/>
      <c r="F13" s="9"/>
      <c r="G13" s="9"/>
      <c r="H13" s="7" t="s">
        <v>172</v>
      </c>
      <c r="I13" s="7"/>
      <c r="J13" s="7" t="s">
        <v>479</v>
      </c>
      <c r="K13" s="44" t="s">
        <v>152</v>
      </c>
      <c r="L13" s="19" t="s">
        <v>160</v>
      </c>
      <c r="M13" s="19" t="s">
        <v>163</v>
      </c>
      <c r="N13" s="19" t="s">
        <v>162</v>
      </c>
      <c r="O13" s="13">
        <v>52860</v>
      </c>
      <c r="P13" s="13">
        <v>52860</v>
      </c>
      <c r="Q13" s="13">
        <v>45000</v>
      </c>
      <c r="R13" s="13">
        <f>76500-46900</f>
        <v>29600</v>
      </c>
      <c r="S13" s="13">
        <f>76500-47000</f>
        <v>29500</v>
      </c>
      <c r="T13" s="114">
        <f>76500-47000</f>
        <v>29500</v>
      </c>
    </row>
    <row r="14" spans="1:22" ht="66" x14ac:dyDescent="0.25">
      <c r="A14" s="185"/>
      <c r="B14" s="6" t="s">
        <v>69</v>
      </c>
      <c r="C14" s="9" t="s">
        <v>70</v>
      </c>
      <c r="D14" s="9" t="s">
        <v>71</v>
      </c>
      <c r="E14" s="6"/>
      <c r="F14" s="9"/>
      <c r="G14" s="9"/>
      <c r="H14" s="24" t="s">
        <v>401</v>
      </c>
      <c r="I14" s="25"/>
      <c r="J14" s="26" t="s">
        <v>483</v>
      </c>
      <c r="K14" s="44" t="s">
        <v>152</v>
      </c>
      <c r="L14" s="19" t="s">
        <v>160</v>
      </c>
      <c r="M14" s="19" t="s">
        <v>164</v>
      </c>
      <c r="N14" s="19" t="s">
        <v>162</v>
      </c>
      <c r="O14" s="13">
        <v>36000</v>
      </c>
      <c r="P14" s="13">
        <v>36000</v>
      </c>
      <c r="Q14" s="13">
        <v>40000</v>
      </c>
      <c r="R14" s="13">
        <v>42000</v>
      </c>
      <c r="S14" s="13">
        <v>42000</v>
      </c>
      <c r="T14" s="114">
        <v>42000</v>
      </c>
    </row>
    <row r="15" spans="1:22" ht="33" x14ac:dyDescent="0.25">
      <c r="A15" s="185"/>
      <c r="B15" s="7"/>
      <c r="C15" s="9"/>
      <c r="D15" s="9"/>
      <c r="E15" s="6"/>
      <c r="F15" s="9"/>
      <c r="G15" s="9"/>
      <c r="H15" s="136" t="s">
        <v>281</v>
      </c>
      <c r="I15" s="7"/>
      <c r="J15" s="7" t="s">
        <v>462</v>
      </c>
      <c r="K15" s="44" t="s">
        <v>152</v>
      </c>
      <c r="L15" s="19" t="s">
        <v>160</v>
      </c>
      <c r="M15" s="19" t="s">
        <v>165</v>
      </c>
      <c r="N15" s="19" t="s">
        <v>162</v>
      </c>
      <c r="O15" s="13">
        <v>464708.5</v>
      </c>
      <c r="P15" s="13">
        <v>464708.5</v>
      </c>
      <c r="Q15" s="13">
        <v>422000</v>
      </c>
      <c r="R15" s="13">
        <f>415900+71700</f>
        <v>487600</v>
      </c>
      <c r="S15" s="13">
        <f>540000-127100</f>
        <v>412900</v>
      </c>
      <c r="T15" s="114">
        <f>540000-127100</f>
        <v>412900</v>
      </c>
    </row>
    <row r="16" spans="1:22" ht="74.25" x14ac:dyDescent="0.25">
      <c r="A16" s="185"/>
      <c r="B16" s="7"/>
      <c r="C16" s="9"/>
      <c r="D16" s="9"/>
      <c r="E16" s="6"/>
      <c r="F16" s="9"/>
      <c r="G16" s="9"/>
      <c r="H16" s="24" t="s">
        <v>408</v>
      </c>
      <c r="I16" s="7" t="s">
        <v>58</v>
      </c>
      <c r="J16" s="7" t="s">
        <v>409</v>
      </c>
      <c r="K16" s="44" t="s">
        <v>152</v>
      </c>
      <c r="L16" s="19" t="s">
        <v>153</v>
      </c>
      <c r="M16" s="19" t="s">
        <v>552</v>
      </c>
      <c r="N16" s="19" t="s">
        <v>155</v>
      </c>
      <c r="O16" s="13">
        <v>50000</v>
      </c>
      <c r="P16" s="13">
        <v>1065</v>
      </c>
      <c r="Q16" s="13">
        <v>65000</v>
      </c>
      <c r="R16" s="13">
        <v>65000</v>
      </c>
      <c r="S16" s="13">
        <v>65000</v>
      </c>
      <c r="T16" s="114">
        <v>65000</v>
      </c>
      <c r="U16" s="19" t="s">
        <v>166</v>
      </c>
      <c r="V16" s="115"/>
    </row>
    <row r="17" spans="1:30" ht="49.5" x14ac:dyDescent="0.25">
      <c r="A17" s="185"/>
      <c r="B17" s="7"/>
      <c r="C17" s="9"/>
      <c r="D17" s="9"/>
      <c r="E17" s="6"/>
      <c r="F17" s="9"/>
      <c r="G17" s="9"/>
      <c r="H17" s="7" t="s">
        <v>424</v>
      </c>
      <c r="I17" s="7" t="s">
        <v>267</v>
      </c>
      <c r="J17" s="7" t="s">
        <v>461</v>
      </c>
      <c r="K17" s="44" t="s">
        <v>152</v>
      </c>
      <c r="L17" s="19" t="s">
        <v>153</v>
      </c>
      <c r="M17" s="19" t="s">
        <v>552</v>
      </c>
      <c r="N17" s="19" t="s">
        <v>162</v>
      </c>
      <c r="O17" s="13">
        <v>46000</v>
      </c>
      <c r="P17" s="13">
        <v>46000</v>
      </c>
      <c r="Q17" s="13">
        <v>60000</v>
      </c>
      <c r="R17" s="13">
        <v>30000</v>
      </c>
      <c r="S17" s="13">
        <v>30000</v>
      </c>
      <c r="T17" s="114">
        <v>30000</v>
      </c>
      <c r="U17" s="19" t="s">
        <v>166</v>
      </c>
    </row>
    <row r="18" spans="1:30" x14ac:dyDescent="0.25">
      <c r="A18" s="185"/>
      <c r="B18" s="7"/>
      <c r="C18" s="9"/>
      <c r="D18" s="9"/>
      <c r="E18" s="6"/>
      <c r="F18" s="9"/>
      <c r="G18" s="9"/>
      <c r="H18" s="7"/>
      <c r="I18" s="7"/>
      <c r="J18" s="7"/>
      <c r="K18" s="44" t="s">
        <v>152</v>
      </c>
      <c r="L18" s="19" t="s">
        <v>153</v>
      </c>
      <c r="M18" s="19" t="s">
        <v>552</v>
      </c>
      <c r="N18" s="19" t="s">
        <v>155</v>
      </c>
      <c r="O18" s="13">
        <v>267000</v>
      </c>
      <c r="P18" s="13">
        <v>234027</v>
      </c>
      <c r="Q18" s="13">
        <v>177000</v>
      </c>
      <c r="R18" s="13">
        <f>228000-100000</f>
        <v>128000</v>
      </c>
      <c r="S18" s="13">
        <v>228000</v>
      </c>
      <c r="T18" s="114">
        <v>228000</v>
      </c>
      <c r="U18" s="19" t="s">
        <v>167</v>
      </c>
    </row>
    <row r="19" spans="1:30" x14ac:dyDescent="0.25">
      <c r="A19" s="185"/>
      <c r="B19" s="7"/>
      <c r="C19" s="9"/>
      <c r="D19" s="9"/>
      <c r="E19" s="6"/>
      <c r="F19" s="9"/>
      <c r="G19" s="9"/>
      <c r="H19" s="7"/>
      <c r="I19" s="7"/>
      <c r="J19" s="7"/>
      <c r="K19" s="44" t="s">
        <v>152</v>
      </c>
      <c r="L19" s="19" t="s">
        <v>153</v>
      </c>
      <c r="M19" s="19" t="s">
        <v>552</v>
      </c>
      <c r="N19" s="19" t="s">
        <v>162</v>
      </c>
      <c r="O19" s="13">
        <v>164000</v>
      </c>
      <c r="P19" s="13">
        <v>156480</v>
      </c>
      <c r="Q19" s="13">
        <v>75000</v>
      </c>
      <c r="R19" s="13">
        <v>150000</v>
      </c>
      <c r="S19" s="13">
        <v>150000</v>
      </c>
      <c r="T19" s="114">
        <v>150000</v>
      </c>
      <c r="U19" s="19" t="s">
        <v>167</v>
      </c>
    </row>
    <row r="20" spans="1:30" x14ac:dyDescent="0.25">
      <c r="A20" s="185"/>
      <c r="B20" s="7"/>
      <c r="C20" s="9"/>
      <c r="D20" s="9"/>
      <c r="E20" s="6"/>
      <c r="F20" s="9"/>
      <c r="G20" s="9"/>
      <c r="H20" s="7"/>
      <c r="I20" s="7"/>
      <c r="J20" s="7"/>
      <c r="K20" s="44" t="s">
        <v>152</v>
      </c>
      <c r="L20" s="19" t="s">
        <v>153</v>
      </c>
      <c r="M20" s="19" t="s">
        <v>168</v>
      </c>
      <c r="N20" s="19" t="s">
        <v>155</v>
      </c>
      <c r="O20" s="13">
        <v>169387.74</v>
      </c>
      <c r="P20" s="13">
        <v>166737.54</v>
      </c>
      <c r="Q20" s="13">
        <v>250000</v>
      </c>
      <c r="R20" s="13">
        <v>250000</v>
      </c>
      <c r="S20" s="13">
        <v>250000</v>
      </c>
      <c r="T20" s="114">
        <v>225000</v>
      </c>
    </row>
    <row r="21" spans="1:30" x14ac:dyDescent="0.25">
      <c r="A21" s="185"/>
      <c r="B21" s="7"/>
      <c r="C21" s="9"/>
      <c r="D21" s="9"/>
      <c r="E21" s="6"/>
      <c r="F21" s="9"/>
      <c r="G21" s="9"/>
      <c r="H21" s="7"/>
      <c r="I21" s="7"/>
      <c r="J21" s="7"/>
      <c r="K21" s="44" t="s">
        <v>152</v>
      </c>
      <c r="L21" s="19" t="s">
        <v>160</v>
      </c>
      <c r="M21" s="19" t="s">
        <v>169</v>
      </c>
      <c r="N21" s="19" t="s">
        <v>162</v>
      </c>
      <c r="O21" s="13">
        <v>165127</v>
      </c>
      <c r="P21" s="13">
        <v>160591</v>
      </c>
      <c r="Q21" s="13">
        <v>182000</v>
      </c>
      <c r="R21" s="13">
        <v>174800</v>
      </c>
      <c r="S21" s="13">
        <f>276000-97200</f>
        <v>178800</v>
      </c>
      <c r="T21" s="114">
        <f>276000-72200</f>
        <v>203800</v>
      </c>
    </row>
    <row r="22" spans="1:30" x14ac:dyDescent="0.25">
      <c r="A22" s="185"/>
      <c r="B22" s="7"/>
      <c r="C22" s="9"/>
      <c r="D22" s="9"/>
      <c r="E22" s="6"/>
      <c r="F22" s="9"/>
      <c r="G22" s="9"/>
      <c r="H22" s="7"/>
      <c r="I22" s="7"/>
      <c r="J22" s="7"/>
      <c r="K22" s="44" t="s">
        <v>152</v>
      </c>
      <c r="L22" s="19" t="s">
        <v>160</v>
      </c>
      <c r="M22" s="19" t="s">
        <v>169</v>
      </c>
      <c r="N22" s="19" t="s">
        <v>170</v>
      </c>
      <c r="O22" s="13">
        <v>800</v>
      </c>
      <c r="P22" s="13">
        <v>800</v>
      </c>
      <c r="Q22" s="13">
        <v>2000</v>
      </c>
      <c r="R22" s="13">
        <v>5200</v>
      </c>
      <c r="S22" s="13">
        <v>5200</v>
      </c>
      <c r="T22" s="114">
        <v>5200</v>
      </c>
    </row>
    <row r="23" spans="1:30" ht="49.5" x14ac:dyDescent="0.25">
      <c r="A23" s="185" t="s">
        <v>22</v>
      </c>
      <c r="B23" s="6" t="s">
        <v>57</v>
      </c>
      <c r="C23" s="9" t="s">
        <v>62</v>
      </c>
      <c r="D23" s="9" t="s">
        <v>61</v>
      </c>
      <c r="E23" s="7"/>
      <c r="F23" s="7"/>
      <c r="G23" s="7"/>
      <c r="H23" s="7" t="s">
        <v>395</v>
      </c>
      <c r="I23" s="7" t="s">
        <v>403</v>
      </c>
      <c r="J23" s="7" t="s">
        <v>463</v>
      </c>
      <c r="K23" s="44"/>
      <c r="L23" s="19"/>
      <c r="M23" s="19"/>
      <c r="N23" s="19"/>
      <c r="O23" s="112">
        <f t="shared" ref="O23:T23" si="3">SUM(O24:O35)</f>
        <v>45368300.969999999</v>
      </c>
      <c r="P23" s="112">
        <f t="shared" si="3"/>
        <v>44990597.090000004</v>
      </c>
      <c r="Q23" s="112">
        <f t="shared" si="3"/>
        <v>47575220.75</v>
      </c>
      <c r="R23" s="112">
        <f t="shared" si="3"/>
        <v>56275073</v>
      </c>
      <c r="S23" s="112">
        <f t="shared" si="3"/>
        <v>51173710</v>
      </c>
      <c r="T23" s="112">
        <f t="shared" si="3"/>
        <v>51173710</v>
      </c>
      <c r="U23" s="115"/>
    </row>
    <row r="24" spans="1:30" ht="41.25" x14ac:dyDescent="0.25">
      <c r="A24" s="185"/>
      <c r="B24" s="8" t="s">
        <v>63</v>
      </c>
      <c r="C24" s="10" t="s">
        <v>58</v>
      </c>
      <c r="D24" s="10" t="s">
        <v>64</v>
      </c>
      <c r="E24" s="7"/>
      <c r="F24" s="7"/>
      <c r="G24" s="7"/>
      <c r="H24" s="7" t="s">
        <v>286</v>
      </c>
      <c r="I24" s="7" t="s">
        <v>411</v>
      </c>
      <c r="J24" s="7" t="s">
        <v>464</v>
      </c>
      <c r="K24" s="70" t="s">
        <v>282</v>
      </c>
      <c r="L24" s="71" t="s">
        <v>152</v>
      </c>
      <c r="M24" s="71" t="s">
        <v>283</v>
      </c>
      <c r="N24" s="71" t="s">
        <v>162</v>
      </c>
      <c r="O24" s="108">
        <v>2673310.91</v>
      </c>
      <c r="P24" s="108">
        <v>2673310.91</v>
      </c>
      <c r="Q24" s="108">
        <v>0</v>
      </c>
      <c r="R24" s="108">
        <v>0</v>
      </c>
      <c r="S24" s="108">
        <v>0</v>
      </c>
      <c r="T24" s="108">
        <v>0</v>
      </c>
    </row>
    <row r="25" spans="1:30" ht="49.5" x14ac:dyDescent="0.25">
      <c r="A25" s="185"/>
      <c r="B25" s="6" t="s">
        <v>65</v>
      </c>
      <c r="C25" s="9" t="s">
        <v>58</v>
      </c>
      <c r="D25" s="9" t="s">
        <v>405</v>
      </c>
      <c r="E25" s="7"/>
      <c r="F25" s="7"/>
      <c r="G25" s="7"/>
      <c r="H25" s="20" t="s">
        <v>402</v>
      </c>
      <c r="I25" s="20" t="s">
        <v>58</v>
      </c>
      <c r="J25" s="21" t="s">
        <v>465</v>
      </c>
      <c r="K25" s="70" t="s">
        <v>282</v>
      </c>
      <c r="L25" s="71" t="s">
        <v>186</v>
      </c>
      <c r="M25" s="71" t="s">
        <v>284</v>
      </c>
      <c r="N25" s="71" t="s">
        <v>162</v>
      </c>
      <c r="O25" s="108">
        <v>8388024.0899999999</v>
      </c>
      <c r="P25" s="108">
        <v>8010320.21</v>
      </c>
      <c r="Q25" s="108">
        <v>0</v>
      </c>
      <c r="R25" s="108">
        <v>0</v>
      </c>
      <c r="S25" s="108">
        <v>0</v>
      </c>
      <c r="T25" s="108">
        <v>0</v>
      </c>
    </row>
    <row r="26" spans="1:30" ht="41.25" x14ac:dyDescent="0.25">
      <c r="A26" s="185"/>
      <c r="B26" s="6" t="s">
        <v>67</v>
      </c>
      <c r="C26" s="9" t="s">
        <v>58</v>
      </c>
      <c r="D26" s="9" t="s">
        <v>68</v>
      </c>
      <c r="E26" s="7"/>
      <c r="F26" s="7"/>
      <c r="G26" s="7"/>
      <c r="H26" s="7" t="s">
        <v>171</v>
      </c>
      <c r="I26" s="20" t="s">
        <v>410</v>
      </c>
      <c r="J26" s="37" t="s">
        <v>407</v>
      </c>
      <c r="K26" s="70" t="s">
        <v>282</v>
      </c>
      <c r="L26" s="71" t="s">
        <v>282</v>
      </c>
      <c r="M26" s="71" t="s">
        <v>285</v>
      </c>
      <c r="N26" s="71" t="s">
        <v>162</v>
      </c>
      <c r="O26" s="108">
        <v>3116.35</v>
      </c>
      <c r="P26" s="108">
        <v>3116.35</v>
      </c>
      <c r="Q26" s="108">
        <v>0</v>
      </c>
      <c r="R26" s="108">
        <v>0</v>
      </c>
      <c r="S26" s="108">
        <v>0</v>
      </c>
      <c r="T26" s="108">
        <v>0</v>
      </c>
    </row>
    <row r="27" spans="1:30" ht="74.25" x14ac:dyDescent="0.25">
      <c r="A27" s="185"/>
      <c r="B27" s="6" t="s">
        <v>517</v>
      </c>
      <c r="C27" s="9" t="s">
        <v>70</v>
      </c>
      <c r="D27" s="9" t="s">
        <v>71</v>
      </c>
      <c r="E27" s="7"/>
      <c r="F27" s="7"/>
      <c r="G27" s="7"/>
      <c r="H27" s="7" t="s">
        <v>520</v>
      </c>
      <c r="I27" s="7"/>
      <c r="J27" s="7" t="s">
        <v>521</v>
      </c>
      <c r="K27" s="70" t="s">
        <v>282</v>
      </c>
      <c r="L27" s="71" t="s">
        <v>282</v>
      </c>
      <c r="M27" s="71" t="s">
        <v>285</v>
      </c>
      <c r="N27" s="71" t="s">
        <v>170</v>
      </c>
      <c r="O27" s="108">
        <v>13812.65</v>
      </c>
      <c r="P27" s="108">
        <v>13812.65</v>
      </c>
      <c r="Q27" s="108">
        <v>0</v>
      </c>
      <c r="R27" s="108">
        <v>0</v>
      </c>
      <c r="S27" s="108">
        <v>0</v>
      </c>
      <c r="T27" s="108">
        <v>0</v>
      </c>
    </row>
    <row r="28" spans="1:30" ht="20.25" customHeight="1" x14ac:dyDescent="0.25">
      <c r="A28" s="185"/>
      <c r="B28" s="137" t="s">
        <v>518</v>
      </c>
      <c r="C28" s="9"/>
      <c r="D28" s="9" t="s">
        <v>519</v>
      </c>
      <c r="E28" s="7"/>
      <c r="F28" s="7"/>
      <c r="G28" s="7"/>
      <c r="H28" s="7"/>
      <c r="I28" s="7"/>
      <c r="J28" s="7"/>
      <c r="K28" s="73" t="s">
        <v>152</v>
      </c>
      <c r="L28" s="74" t="s">
        <v>160</v>
      </c>
      <c r="M28" s="74" t="s">
        <v>334</v>
      </c>
      <c r="N28" s="74" t="s">
        <v>162</v>
      </c>
      <c r="O28" s="51">
        <v>400000</v>
      </c>
      <c r="P28" s="51">
        <v>400000</v>
      </c>
      <c r="Q28" s="51">
        <v>490000</v>
      </c>
      <c r="R28" s="51">
        <v>200000</v>
      </c>
      <c r="S28" s="51">
        <v>200000</v>
      </c>
      <c r="T28" s="109">
        <v>200000</v>
      </c>
      <c r="U28" s="120"/>
      <c r="V28" s="120"/>
      <c r="W28" s="17"/>
      <c r="X28" s="17"/>
      <c r="Y28" s="17"/>
      <c r="Z28" s="17"/>
      <c r="AA28" s="17"/>
      <c r="AB28" s="17"/>
      <c r="AC28" s="17"/>
      <c r="AD28" s="17"/>
    </row>
    <row r="29" spans="1:30" x14ac:dyDescent="0.25">
      <c r="A29" s="185"/>
      <c r="B29" s="6"/>
      <c r="C29" s="9"/>
      <c r="D29" s="9"/>
      <c r="E29" s="7"/>
      <c r="F29" s="7"/>
      <c r="G29" s="7"/>
      <c r="H29" s="7"/>
      <c r="I29" s="7"/>
      <c r="J29" s="7"/>
      <c r="K29" s="52" t="s">
        <v>152</v>
      </c>
      <c r="L29" s="52" t="s">
        <v>160</v>
      </c>
      <c r="M29" s="52" t="s">
        <v>335</v>
      </c>
      <c r="N29" s="52" t="s">
        <v>162</v>
      </c>
      <c r="O29" s="53">
        <v>200000</v>
      </c>
      <c r="P29" s="51">
        <v>200000</v>
      </c>
      <c r="Q29" s="53">
        <f>7903824.05-240000</f>
        <v>7663824.0499999998</v>
      </c>
      <c r="R29" s="53">
        <f>8960000-250000</f>
        <v>8710000</v>
      </c>
      <c r="S29" s="53">
        <f>9680000-260000</f>
        <v>9420000</v>
      </c>
      <c r="T29" s="54">
        <f>9680000-260000</f>
        <v>9420000</v>
      </c>
    </row>
    <row r="30" spans="1:30" x14ac:dyDescent="0.25">
      <c r="A30" s="185"/>
      <c r="B30" s="6"/>
      <c r="C30" s="9"/>
      <c r="D30" s="9"/>
      <c r="E30" s="7"/>
      <c r="F30" s="7"/>
      <c r="G30" s="7"/>
      <c r="H30" s="7"/>
      <c r="I30" s="7"/>
      <c r="J30" s="7"/>
      <c r="K30" s="52" t="s">
        <v>153</v>
      </c>
      <c r="L30" s="52" t="s">
        <v>18</v>
      </c>
      <c r="M30" s="52" t="s">
        <v>336</v>
      </c>
      <c r="N30" s="52" t="s">
        <v>155</v>
      </c>
      <c r="O30" s="153">
        <v>12891310.640000001</v>
      </c>
      <c r="P30" s="153">
        <v>12891310.640000001</v>
      </c>
      <c r="Q30" s="153">
        <v>15652436.699999999</v>
      </c>
      <c r="R30" s="153">
        <f>13205310+2899160+2000000</f>
        <v>18104470</v>
      </c>
      <c r="S30" s="153">
        <f>13229000</f>
        <v>13229000</v>
      </c>
      <c r="T30" s="154">
        <f>13229000</f>
        <v>13229000</v>
      </c>
      <c r="U30" s="115"/>
    </row>
    <row r="31" spans="1:30" x14ac:dyDescent="0.25">
      <c r="A31" s="185"/>
      <c r="B31" s="6"/>
      <c r="C31" s="9"/>
      <c r="D31" s="9"/>
      <c r="E31" s="7"/>
      <c r="F31" s="7"/>
      <c r="G31" s="7"/>
      <c r="H31" s="7"/>
      <c r="I31" s="7"/>
      <c r="J31" s="7"/>
      <c r="K31" s="52" t="s">
        <v>153</v>
      </c>
      <c r="L31" s="52" t="s">
        <v>18</v>
      </c>
      <c r="M31" s="52" t="s">
        <v>336</v>
      </c>
      <c r="N31" s="52" t="s">
        <v>162</v>
      </c>
      <c r="O31" s="153">
        <v>2377761.39</v>
      </c>
      <c r="P31" s="153">
        <v>2377761.39</v>
      </c>
      <c r="Q31" s="153">
        <v>2843914</v>
      </c>
      <c r="R31" s="153">
        <f>2216410+171233+995000</f>
        <v>3382643</v>
      </c>
      <c r="S31" s="153">
        <f>2429750</f>
        <v>2429750</v>
      </c>
      <c r="T31" s="154">
        <f>2429750</f>
        <v>2429750</v>
      </c>
      <c r="U31" s="115"/>
    </row>
    <row r="32" spans="1:30" x14ac:dyDescent="0.25">
      <c r="A32" s="185"/>
      <c r="B32" s="6"/>
      <c r="C32" s="9"/>
      <c r="D32" s="9"/>
      <c r="E32" s="7"/>
      <c r="F32" s="7"/>
      <c r="G32" s="7"/>
      <c r="H32" s="7"/>
      <c r="I32" s="7"/>
      <c r="J32" s="7"/>
      <c r="K32" s="52" t="s">
        <v>153</v>
      </c>
      <c r="L32" s="52" t="s">
        <v>18</v>
      </c>
      <c r="M32" s="52" t="s">
        <v>336</v>
      </c>
      <c r="N32" s="52" t="s">
        <v>170</v>
      </c>
      <c r="O32" s="153">
        <v>10532</v>
      </c>
      <c r="P32" s="153">
        <v>10532</v>
      </c>
      <c r="Q32" s="153">
        <v>32946</v>
      </c>
      <c r="R32" s="153">
        <v>2860</v>
      </c>
      <c r="S32" s="153">
        <v>2860</v>
      </c>
      <c r="T32" s="154">
        <v>2860</v>
      </c>
    </row>
    <row r="33" spans="1:20" x14ac:dyDescent="0.25">
      <c r="A33" s="185"/>
      <c r="B33" s="6"/>
      <c r="C33" s="9"/>
      <c r="D33" s="9"/>
      <c r="E33" s="7"/>
      <c r="F33" s="7"/>
      <c r="G33" s="7"/>
      <c r="H33" s="7"/>
      <c r="I33" s="7"/>
      <c r="J33" s="7"/>
      <c r="K33" s="52" t="s">
        <v>153</v>
      </c>
      <c r="L33" s="52" t="s">
        <v>18</v>
      </c>
      <c r="M33" s="52" t="s">
        <v>337</v>
      </c>
      <c r="N33" s="52" t="s">
        <v>155</v>
      </c>
      <c r="O33" s="153">
        <v>388409.42</v>
      </c>
      <c r="P33" s="153">
        <v>388409.42</v>
      </c>
      <c r="Q33" s="153">
        <v>568100</v>
      </c>
      <c r="R33" s="153">
        <v>551100</v>
      </c>
      <c r="S33" s="153">
        <v>568100</v>
      </c>
      <c r="T33" s="154">
        <v>568100</v>
      </c>
    </row>
    <row r="34" spans="1:20" x14ac:dyDescent="0.25">
      <c r="A34" s="185"/>
      <c r="B34" s="6"/>
      <c r="C34" s="9"/>
      <c r="D34" s="9"/>
      <c r="E34" s="7"/>
      <c r="F34" s="7"/>
      <c r="G34" s="7"/>
      <c r="H34" s="7"/>
      <c r="I34" s="7"/>
      <c r="J34" s="7"/>
      <c r="K34" s="52" t="s">
        <v>282</v>
      </c>
      <c r="L34" s="52" t="s">
        <v>152</v>
      </c>
      <c r="M34" s="52" t="s">
        <v>338</v>
      </c>
      <c r="N34" s="52" t="s">
        <v>162</v>
      </c>
      <c r="O34" s="53">
        <v>18022023.52</v>
      </c>
      <c r="P34" s="51">
        <f t="shared" ref="P34" si="4">O34</f>
        <v>18022023.52</v>
      </c>
      <c r="Q34" s="53">
        <v>17000000</v>
      </c>
      <c r="R34" s="53">
        <v>22000000</v>
      </c>
      <c r="S34" s="53">
        <v>22000000</v>
      </c>
      <c r="T34" s="54">
        <v>22000000</v>
      </c>
    </row>
    <row r="35" spans="1:20" x14ac:dyDescent="0.25">
      <c r="A35" s="185"/>
      <c r="B35" s="6"/>
      <c r="C35" s="9"/>
      <c r="D35" s="9"/>
      <c r="E35" s="7"/>
      <c r="F35" s="7"/>
      <c r="G35" s="7"/>
      <c r="H35" s="7"/>
      <c r="I35" s="7"/>
      <c r="J35" s="7"/>
      <c r="K35" s="52" t="s">
        <v>282</v>
      </c>
      <c r="L35" s="52" t="s">
        <v>152</v>
      </c>
      <c r="M35" s="52" t="s">
        <v>295</v>
      </c>
      <c r="N35" s="52" t="s">
        <v>162</v>
      </c>
      <c r="O35" s="53">
        <v>0</v>
      </c>
      <c r="P35" s="51">
        <v>0</v>
      </c>
      <c r="Q35" s="53">
        <v>3324000</v>
      </c>
      <c r="R35" s="53">
        <v>3324000</v>
      </c>
      <c r="S35" s="53">
        <v>3324000</v>
      </c>
      <c r="T35" s="54">
        <v>3324000</v>
      </c>
    </row>
    <row r="36" spans="1:20" ht="199.5" customHeight="1" x14ac:dyDescent="0.25">
      <c r="A36" s="185" t="s">
        <v>14</v>
      </c>
      <c r="B36" s="8" t="s">
        <v>57</v>
      </c>
      <c r="C36" s="10" t="s">
        <v>72</v>
      </c>
      <c r="D36" s="10" t="s">
        <v>61</v>
      </c>
      <c r="E36" s="6" t="s">
        <v>73</v>
      </c>
      <c r="F36" s="9" t="s">
        <v>58</v>
      </c>
      <c r="G36" s="9" t="s">
        <v>74</v>
      </c>
      <c r="H36" s="7" t="s">
        <v>395</v>
      </c>
      <c r="I36" s="7" t="s">
        <v>413</v>
      </c>
      <c r="J36" s="7" t="s">
        <v>463</v>
      </c>
      <c r="K36" s="44"/>
      <c r="L36" s="19"/>
      <c r="M36" s="19"/>
      <c r="N36" s="19"/>
      <c r="O36" s="155">
        <f>SUM(O37:O45)</f>
        <v>166814292.61000001</v>
      </c>
      <c r="P36" s="155">
        <f t="shared" ref="P36:T36" si="5">SUM(P37:P45)</f>
        <v>150163843.14000002</v>
      </c>
      <c r="Q36" s="155">
        <f t="shared" si="5"/>
        <v>143206982.09</v>
      </c>
      <c r="R36" s="155">
        <f t="shared" si="5"/>
        <v>67365978</v>
      </c>
      <c r="S36" s="155">
        <f t="shared" si="5"/>
        <v>71825190</v>
      </c>
      <c r="T36" s="155">
        <f t="shared" si="5"/>
        <v>71825190</v>
      </c>
    </row>
    <row r="37" spans="1:20" ht="41.25" x14ac:dyDescent="0.25">
      <c r="A37" s="185"/>
      <c r="B37" s="8" t="s">
        <v>522</v>
      </c>
      <c r="C37" s="10"/>
      <c r="D37" s="10" t="s">
        <v>523</v>
      </c>
      <c r="E37" s="6"/>
      <c r="F37" s="9"/>
      <c r="G37" s="9"/>
      <c r="H37" s="7" t="s">
        <v>286</v>
      </c>
      <c r="I37" s="7" t="s">
        <v>410</v>
      </c>
      <c r="J37" s="7" t="s">
        <v>464</v>
      </c>
      <c r="K37" s="70" t="s">
        <v>153</v>
      </c>
      <c r="L37" s="71" t="s">
        <v>199</v>
      </c>
      <c r="M37" s="55" t="s">
        <v>287</v>
      </c>
      <c r="N37" s="71" t="s">
        <v>162</v>
      </c>
      <c r="O37" s="108">
        <v>4007592</v>
      </c>
      <c r="P37" s="108">
        <v>3987553.82</v>
      </c>
      <c r="Q37" s="108">
        <v>4352127</v>
      </c>
      <c r="R37" s="108">
        <v>1776904</v>
      </c>
      <c r="S37" s="108">
        <v>1818562</v>
      </c>
      <c r="T37" s="108">
        <v>1841952</v>
      </c>
    </row>
    <row r="38" spans="1:20" ht="33" x14ac:dyDescent="0.25">
      <c r="A38" s="185"/>
      <c r="B38" s="8"/>
      <c r="C38" s="10"/>
      <c r="D38" s="10"/>
      <c r="E38" s="6"/>
      <c r="F38" s="9"/>
      <c r="G38" s="9"/>
      <c r="H38" s="7" t="s">
        <v>294</v>
      </c>
      <c r="I38" s="7"/>
      <c r="J38" s="7" t="s">
        <v>466</v>
      </c>
      <c r="K38" s="70" t="s">
        <v>153</v>
      </c>
      <c r="L38" s="71" t="s">
        <v>199</v>
      </c>
      <c r="M38" s="55" t="s">
        <v>288</v>
      </c>
      <c r="N38" s="71" t="s">
        <v>162</v>
      </c>
      <c r="O38" s="108">
        <v>13221264</v>
      </c>
      <c r="P38" s="108">
        <v>12303804</v>
      </c>
      <c r="Q38" s="108"/>
      <c r="R38" s="108"/>
      <c r="S38" s="108"/>
      <c r="T38" s="108"/>
    </row>
    <row r="39" spans="1:20" ht="41.25" x14ac:dyDescent="0.25">
      <c r="A39" s="185"/>
      <c r="B39" s="8"/>
      <c r="C39" s="10"/>
      <c r="D39" s="10"/>
      <c r="E39" s="6"/>
      <c r="F39" s="9"/>
      <c r="G39" s="9"/>
      <c r="H39" s="24" t="s">
        <v>414</v>
      </c>
      <c r="I39" s="7" t="s">
        <v>502</v>
      </c>
      <c r="J39" s="37" t="s">
        <v>406</v>
      </c>
      <c r="K39" s="70" t="s">
        <v>153</v>
      </c>
      <c r="L39" s="71" t="s">
        <v>199</v>
      </c>
      <c r="M39" s="55" t="s">
        <v>289</v>
      </c>
      <c r="N39" s="71" t="s">
        <v>162</v>
      </c>
      <c r="O39" s="108">
        <v>105394895.61</v>
      </c>
      <c r="P39" s="108">
        <v>98105091.140000001</v>
      </c>
      <c r="Q39" s="108">
        <f>108729082.09</f>
        <v>108729082.09</v>
      </c>
      <c r="R39" s="108">
        <v>52837488</v>
      </c>
      <c r="S39" s="108">
        <v>57086250</v>
      </c>
      <c r="T39" s="108">
        <v>56906330</v>
      </c>
    </row>
    <row r="40" spans="1:20" ht="41.25" x14ac:dyDescent="0.25">
      <c r="A40" s="185"/>
      <c r="B40" s="8"/>
      <c r="C40" s="10"/>
      <c r="D40" s="10"/>
      <c r="E40" s="6"/>
      <c r="F40" s="9"/>
      <c r="G40" s="9"/>
      <c r="H40" s="7" t="s">
        <v>524</v>
      </c>
      <c r="I40" s="7"/>
      <c r="J40" s="7" t="s">
        <v>525</v>
      </c>
      <c r="K40" s="70" t="s">
        <v>153</v>
      </c>
      <c r="L40" s="71" t="s">
        <v>199</v>
      </c>
      <c r="M40" s="55" t="s">
        <v>290</v>
      </c>
      <c r="N40" s="71" t="s">
        <v>162</v>
      </c>
      <c r="O40" s="108">
        <v>34433320</v>
      </c>
      <c r="P40" s="108">
        <v>26859821.489999998</v>
      </c>
      <c r="Q40" s="108">
        <v>18293505</v>
      </c>
      <c r="R40" s="108">
        <v>11686559</v>
      </c>
      <c r="S40" s="108">
        <v>11960544</v>
      </c>
      <c r="T40" s="108">
        <v>12114375</v>
      </c>
    </row>
    <row r="41" spans="1:20" x14ac:dyDescent="0.25">
      <c r="A41" s="185"/>
      <c r="B41" s="8"/>
      <c r="C41" s="10"/>
      <c r="D41" s="10"/>
      <c r="E41" s="6"/>
      <c r="F41" s="9"/>
      <c r="G41" s="9"/>
      <c r="H41" s="7"/>
      <c r="I41" s="7"/>
      <c r="J41" s="7"/>
      <c r="K41" s="70" t="s">
        <v>153</v>
      </c>
      <c r="L41" s="71" t="s">
        <v>199</v>
      </c>
      <c r="M41" s="55" t="s">
        <v>291</v>
      </c>
      <c r="N41" s="71" t="s">
        <v>162</v>
      </c>
      <c r="O41" s="108">
        <v>8000000</v>
      </c>
      <c r="P41" s="108">
        <v>7857884.8899999997</v>
      </c>
      <c r="Q41" s="108">
        <v>10330100</v>
      </c>
      <c r="R41" s="108">
        <v>0</v>
      </c>
      <c r="S41" s="108">
        <v>0</v>
      </c>
      <c r="T41" s="108">
        <v>0</v>
      </c>
    </row>
    <row r="42" spans="1:20" x14ac:dyDescent="0.25">
      <c r="A42" s="185"/>
      <c r="B42" s="8"/>
      <c r="C42" s="10"/>
      <c r="D42" s="10"/>
      <c r="E42" s="6"/>
      <c r="F42" s="9"/>
      <c r="G42" s="9"/>
      <c r="H42" s="7"/>
      <c r="I42" s="7"/>
      <c r="J42" s="7"/>
      <c r="K42" s="70" t="s">
        <v>153</v>
      </c>
      <c r="L42" s="71" t="s">
        <v>199</v>
      </c>
      <c r="M42" s="55" t="s">
        <v>292</v>
      </c>
      <c r="N42" s="71" t="s">
        <v>162</v>
      </c>
      <c r="O42" s="108">
        <v>707221</v>
      </c>
      <c r="P42" s="108"/>
      <c r="Q42" s="108">
        <v>502168</v>
      </c>
      <c r="R42" s="108">
        <v>205027</v>
      </c>
      <c r="S42" s="108">
        <v>209834</v>
      </c>
      <c r="T42" s="108">
        <v>212533</v>
      </c>
    </row>
    <row r="43" spans="1:20" x14ac:dyDescent="0.25">
      <c r="A43" s="185"/>
      <c r="B43" s="8"/>
      <c r="C43" s="10"/>
      <c r="D43" s="10"/>
      <c r="E43" s="6"/>
      <c r="F43" s="9"/>
      <c r="G43" s="9"/>
      <c r="H43" s="7"/>
      <c r="I43" s="7"/>
      <c r="J43" s="7"/>
      <c r="K43" s="44" t="s">
        <v>195</v>
      </c>
      <c r="L43" s="19" t="s">
        <v>353</v>
      </c>
      <c r="M43" s="19" t="s">
        <v>354</v>
      </c>
      <c r="N43" s="19" t="s">
        <v>162</v>
      </c>
      <c r="O43" s="13">
        <v>0</v>
      </c>
      <c r="P43" s="13">
        <v>0</v>
      </c>
      <c r="Q43" s="13">
        <v>900000</v>
      </c>
      <c r="R43" s="13">
        <v>600000</v>
      </c>
      <c r="S43" s="13">
        <v>600000</v>
      </c>
      <c r="T43" s="114">
        <v>600000</v>
      </c>
    </row>
    <row r="44" spans="1:20" x14ac:dyDescent="0.25">
      <c r="A44" s="185"/>
      <c r="B44" s="8"/>
      <c r="C44" s="10"/>
      <c r="D44" s="10"/>
      <c r="E44" s="6"/>
      <c r="F44" s="9"/>
      <c r="G44" s="9"/>
      <c r="H44" s="7"/>
      <c r="I44" s="7"/>
      <c r="J44" s="7"/>
      <c r="K44" s="44" t="s">
        <v>195</v>
      </c>
      <c r="L44" s="19" t="s">
        <v>353</v>
      </c>
      <c r="M44" s="19" t="s">
        <v>355</v>
      </c>
      <c r="N44" s="19" t="s">
        <v>162</v>
      </c>
      <c r="O44" s="13">
        <v>0</v>
      </c>
      <c r="P44" s="13">
        <v>0</v>
      </c>
      <c r="Q44" s="13">
        <v>100000</v>
      </c>
      <c r="R44" s="13">
        <f>150000+110000</f>
        <v>260000</v>
      </c>
      <c r="S44" s="13">
        <v>150000</v>
      </c>
      <c r="T44" s="114">
        <v>150000</v>
      </c>
    </row>
    <row r="45" spans="1:20" x14ac:dyDescent="0.25">
      <c r="A45" s="185"/>
      <c r="B45" s="8"/>
      <c r="C45" s="10"/>
      <c r="D45" s="10"/>
      <c r="E45" s="6"/>
      <c r="F45" s="9"/>
      <c r="G45" s="9"/>
      <c r="H45" s="7"/>
      <c r="I45" s="7"/>
      <c r="J45" s="7"/>
      <c r="K45" s="44" t="s">
        <v>195</v>
      </c>
      <c r="L45" s="19" t="s">
        <v>353</v>
      </c>
      <c r="M45" s="19" t="s">
        <v>306</v>
      </c>
      <c r="N45" s="19" t="s">
        <v>162</v>
      </c>
      <c r="O45" s="13">
        <v>1050000</v>
      </c>
      <c r="P45" s="13">
        <v>1049687.8</v>
      </c>
      <c r="Q45" s="13">
        <v>0</v>
      </c>
      <c r="R45" s="13">
        <v>0</v>
      </c>
      <c r="S45" s="13">
        <v>0</v>
      </c>
      <c r="T45" s="114">
        <v>0</v>
      </c>
    </row>
    <row r="46" spans="1:20" ht="49.5" customHeight="1" x14ac:dyDescent="0.25">
      <c r="A46" s="185" t="s">
        <v>15</v>
      </c>
      <c r="B46" s="6" t="s">
        <v>57</v>
      </c>
      <c r="C46" s="9" t="s">
        <v>75</v>
      </c>
      <c r="D46" s="9" t="s">
        <v>61</v>
      </c>
      <c r="E46" s="8" t="s">
        <v>76</v>
      </c>
      <c r="F46" s="10" t="s">
        <v>77</v>
      </c>
      <c r="G46" s="10" t="s">
        <v>78</v>
      </c>
      <c r="H46" s="7" t="s">
        <v>395</v>
      </c>
      <c r="I46" s="7" t="s">
        <v>415</v>
      </c>
      <c r="J46" s="7" t="s">
        <v>396</v>
      </c>
      <c r="K46" s="44"/>
      <c r="L46" s="19"/>
      <c r="M46" s="19"/>
      <c r="N46" s="19"/>
      <c r="O46" s="155">
        <f>SUM(O47:O49)</f>
        <v>5382892.2400000002</v>
      </c>
      <c r="P46" s="155">
        <f t="shared" ref="P46:T46" si="6">SUM(P47:P49)</f>
        <v>5173625.68</v>
      </c>
      <c r="Q46" s="155">
        <f t="shared" si="6"/>
        <v>2308250</v>
      </c>
      <c r="R46" s="155">
        <f t="shared" si="6"/>
        <v>200000</v>
      </c>
      <c r="S46" s="155">
        <f t="shared" si="6"/>
        <v>200000</v>
      </c>
      <c r="T46" s="155">
        <f t="shared" si="6"/>
        <v>200000</v>
      </c>
    </row>
    <row r="47" spans="1:20" ht="115.5" x14ac:dyDescent="0.25">
      <c r="A47" s="185"/>
      <c r="B47" s="8" t="s">
        <v>79</v>
      </c>
      <c r="C47" s="10" t="s">
        <v>58</v>
      </c>
      <c r="D47" s="10" t="s">
        <v>66</v>
      </c>
      <c r="E47" s="7"/>
      <c r="F47" s="7"/>
      <c r="G47" s="7"/>
      <c r="H47" s="7" t="s">
        <v>297</v>
      </c>
      <c r="I47" s="7" t="s">
        <v>411</v>
      </c>
      <c r="J47" s="37" t="s">
        <v>406</v>
      </c>
      <c r="K47" s="70" t="s">
        <v>282</v>
      </c>
      <c r="L47" s="71" t="s">
        <v>152</v>
      </c>
      <c r="M47" s="55" t="s">
        <v>295</v>
      </c>
      <c r="N47" s="71" t="s">
        <v>162</v>
      </c>
      <c r="O47" s="108">
        <f>4832892.24</f>
        <v>4832892.24</v>
      </c>
      <c r="P47" s="108">
        <f>4672839.87</f>
        <v>4672839.87</v>
      </c>
      <c r="Q47" s="108">
        <f>1708250</f>
        <v>1708250</v>
      </c>
      <c r="R47" s="108">
        <v>0</v>
      </c>
      <c r="S47" s="108">
        <v>0</v>
      </c>
      <c r="T47" s="108">
        <v>0</v>
      </c>
    </row>
    <row r="48" spans="1:20" ht="41.25" x14ac:dyDescent="0.25">
      <c r="A48" s="185"/>
      <c r="B48" s="8"/>
      <c r="C48" s="10"/>
      <c r="D48" s="10"/>
      <c r="E48" s="7"/>
      <c r="F48" s="7"/>
      <c r="G48" s="7"/>
      <c r="H48" s="42" t="s">
        <v>293</v>
      </c>
      <c r="I48" s="7" t="s">
        <v>411</v>
      </c>
      <c r="J48" s="7" t="s">
        <v>464</v>
      </c>
      <c r="K48" s="70" t="s">
        <v>282</v>
      </c>
      <c r="L48" s="71" t="s">
        <v>152</v>
      </c>
      <c r="M48" s="55" t="s">
        <v>296</v>
      </c>
      <c r="N48" s="71" t="s">
        <v>162</v>
      </c>
      <c r="O48" s="108">
        <v>100000</v>
      </c>
      <c r="P48" s="108">
        <v>99994.93</v>
      </c>
      <c r="Q48" s="108">
        <v>300000</v>
      </c>
      <c r="R48" s="108">
        <v>0</v>
      </c>
      <c r="S48" s="108">
        <v>0</v>
      </c>
      <c r="T48" s="108">
        <v>0</v>
      </c>
    </row>
    <row r="49" spans="1:20" ht="49.5" x14ac:dyDescent="0.25">
      <c r="A49" s="185"/>
      <c r="B49" s="8"/>
      <c r="C49" s="10"/>
      <c r="D49" s="10"/>
      <c r="E49" s="7"/>
      <c r="F49" s="7"/>
      <c r="G49" s="7"/>
      <c r="H49" s="20" t="s">
        <v>402</v>
      </c>
      <c r="I49" s="20" t="s">
        <v>58</v>
      </c>
      <c r="J49" s="21" t="s">
        <v>465</v>
      </c>
      <c r="K49" s="70" t="s">
        <v>243</v>
      </c>
      <c r="L49" s="71" t="s">
        <v>244</v>
      </c>
      <c r="M49" s="55" t="s">
        <v>216</v>
      </c>
      <c r="N49" s="71" t="s">
        <v>162</v>
      </c>
      <c r="O49" s="108">
        <v>450000</v>
      </c>
      <c r="P49" s="108">
        <v>400790.88</v>
      </c>
      <c r="Q49" s="108">
        <v>300000</v>
      </c>
      <c r="R49" s="108">
        <v>200000</v>
      </c>
      <c r="S49" s="108">
        <v>200000</v>
      </c>
      <c r="T49" s="108">
        <v>200000</v>
      </c>
    </row>
    <row r="50" spans="1:20" x14ac:dyDescent="0.25">
      <c r="A50" s="185"/>
      <c r="B50" s="8"/>
      <c r="C50" s="10"/>
      <c r="D50" s="10"/>
      <c r="E50" s="7"/>
      <c r="F50" s="7"/>
      <c r="G50" s="7"/>
      <c r="H50" s="7"/>
      <c r="I50" s="7"/>
      <c r="J50" s="7"/>
      <c r="K50" s="44"/>
      <c r="L50" s="19"/>
      <c r="M50" s="19"/>
      <c r="N50" s="19"/>
      <c r="O50" s="13"/>
      <c r="P50" s="13"/>
      <c r="Q50" s="13"/>
      <c r="R50" s="13"/>
      <c r="S50" s="13"/>
      <c r="T50" s="114"/>
    </row>
    <row r="51" spans="1:20" ht="63" customHeight="1" x14ac:dyDescent="0.25">
      <c r="A51" s="185" t="s">
        <v>23</v>
      </c>
      <c r="B51" s="8" t="s">
        <v>57</v>
      </c>
      <c r="C51" s="10" t="s">
        <v>80</v>
      </c>
      <c r="D51" s="10" t="s">
        <v>61</v>
      </c>
      <c r="E51" s="8" t="s">
        <v>81</v>
      </c>
      <c r="F51" s="10" t="s">
        <v>58</v>
      </c>
      <c r="G51" s="10" t="s">
        <v>82</v>
      </c>
      <c r="H51" s="7" t="s">
        <v>395</v>
      </c>
      <c r="I51" s="7" t="s">
        <v>416</v>
      </c>
      <c r="J51" s="7" t="s">
        <v>463</v>
      </c>
      <c r="K51" s="44"/>
      <c r="L51" s="19"/>
      <c r="M51" s="19"/>
      <c r="N51" s="19"/>
      <c r="O51" s="112">
        <f t="shared" ref="O51:T51" si="7">SUM(O52:O53)</f>
        <v>7786299</v>
      </c>
      <c r="P51" s="112">
        <f t="shared" si="7"/>
        <v>7786299</v>
      </c>
      <c r="Q51" s="112">
        <f t="shared" si="7"/>
        <v>2342772.7000000002</v>
      </c>
      <c r="R51" s="112">
        <f t="shared" si="7"/>
        <v>0</v>
      </c>
      <c r="S51" s="112">
        <f t="shared" si="7"/>
        <v>0</v>
      </c>
      <c r="T51" s="112">
        <f t="shared" si="7"/>
        <v>0</v>
      </c>
    </row>
    <row r="52" spans="1:20" ht="93" customHeight="1" x14ac:dyDescent="0.25">
      <c r="A52" s="185"/>
      <c r="B52" s="8"/>
      <c r="C52" s="10"/>
      <c r="D52" s="10"/>
      <c r="E52" s="8"/>
      <c r="F52" s="10"/>
      <c r="G52" s="10"/>
      <c r="H52" s="127" t="s">
        <v>526</v>
      </c>
      <c r="I52" s="7"/>
      <c r="J52" s="7" t="s">
        <v>527</v>
      </c>
      <c r="K52" s="70" t="s">
        <v>153</v>
      </c>
      <c r="L52" s="71" t="s">
        <v>238</v>
      </c>
      <c r="M52" s="71" t="s">
        <v>299</v>
      </c>
      <c r="N52" s="71" t="s">
        <v>162</v>
      </c>
      <c r="O52" s="108">
        <v>0</v>
      </c>
      <c r="P52" s="108">
        <v>0</v>
      </c>
      <c r="Q52" s="108">
        <v>70000</v>
      </c>
      <c r="R52" s="108">
        <v>0</v>
      </c>
      <c r="S52" s="108">
        <v>0</v>
      </c>
      <c r="T52" s="108">
        <v>0</v>
      </c>
    </row>
    <row r="53" spans="1:20" x14ac:dyDescent="0.25">
      <c r="A53" s="185"/>
      <c r="B53" s="8"/>
      <c r="C53" s="10"/>
      <c r="D53" s="10"/>
      <c r="E53" s="8"/>
      <c r="F53" s="10"/>
      <c r="G53" s="10"/>
      <c r="H53" s="7"/>
      <c r="I53" s="7"/>
      <c r="J53" s="7"/>
      <c r="K53" s="70" t="s">
        <v>153</v>
      </c>
      <c r="L53" s="71" t="s">
        <v>238</v>
      </c>
      <c r="M53" s="71" t="s">
        <v>299</v>
      </c>
      <c r="N53" s="71" t="s">
        <v>300</v>
      </c>
      <c r="O53" s="108">
        <v>7786299</v>
      </c>
      <c r="P53" s="108">
        <v>7786299</v>
      </c>
      <c r="Q53" s="108">
        <v>2272772.7000000002</v>
      </c>
      <c r="R53" s="108">
        <v>0</v>
      </c>
      <c r="S53" s="108">
        <v>0</v>
      </c>
      <c r="T53" s="108">
        <v>0</v>
      </c>
    </row>
    <row r="54" spans="1:20" ht="41.25" customHeight="1" x14ac:dyDescent="0.25">
      <c r="A54" s="185" t="s">
        <v>16</v>
      </c>
      <c r="B54" s="6" t="s">
        <v>57</v>
      </c>
      <c r="C54" s="9" t="s">
        <v>83</v>
      </c>
      <c r="D54" s="9" t="s">
        <v>61</v>
      </c>
      <c r="E54" s="6" t="s">
        <v>90</v>
      </c>
      <c r="F54" s="9" t="s">
        <v>58</v>
      </c>
      <c r="G54" s="9" t="s">
        <v>91</v>
      </c>
      <c r="H54" s="7" t="s">
        <v>395</v>
      </c>
      <c r="I54" s="7" t="s">
        <v>417</v>
      </c>
      <c r="J54" s="7" t="s">
        <v>463</v>
      </c>
      <c r="K54" s="44"/>
      <c r="L54" s="19"/>
      <c r="M54" s="19"/>
      <c r="N54" s="19"/>
      <c r="O54" s="112">
        <f>SUM(O55:O109)</f>
        <v>863513965.61000001</v>
      </c>
      <c r="P54" s="112">
        <f t="shared" ref="P54:T54" si="8">SUM(P55:P109)</f>
        <v>831568802.63999999</v>
      </c>
      <c r="Q54" s="112">
        <f t="shared" si="8"/>
        <v>871648283.56000006</v>
      </c>
      <c r="R54" s="112">
        <f t="shared" si="8"/>
        <v>861618556.68999994</v>
      </c>
      <c r="S54" s="112">
        <f t="shared" si="8"/>
        <v>789636712.69000006</v>
      </c>
      <c r="T54" s="112">
        <f t="shared" si="8"/>
        <v>789811055.69000006</v>
      </c>
    </row>
    <row r="55" spans="1:20" ht="66" x14ac:dyDescent="0.25">
      <c r="A55" s="185"/>
      <c r="B55" s="8" t="s">
        <v>84</v>
      </c>
      <c r="C55" s="10" t="s">
        <v>58</v>
      </c>
      <c r="D55" s="10" t="s">
        <v>85</v>
      </c>
      <c r="E55" s="8" t="s">
        <v>86</v>
      </c>
      <c r="F55" s="10" t="s">
        <v>58</v>
      </c>
      <c r="G55" s="10" t="s">
        <v>87</v>
      </c>
      <c r="H55" s="7" t="s">
        <v>224</v>
      </c>
      <c r="I55" s="7" t="s">
        <v>58</v>
      </c>
      <c r="J55" s="7" t="s">
        <v>407</v>
      </c>
      <c r="K55" s="44" t="s">
        <v>180</v>
      </c>
      <c r="L55" s="19" t="s">
        <v>152</v>
      </c>
      <c r="M55" s="15" t="s">
        <v>181</v>
      </c>
      <c r="N55" s="19" t="s">
        <v>221</v>
      </c>
      <c r="O55" s="13">
        <v>9900000</v>
      </c>
      <c r="P55" s="13">
        <v>9719431.5800000001</v>
      </c>
      <c r="Q55" s="13">
        <v>8000000</v>
      </c>
      <c r="R55" s="57">
        <v>10000000</v>
      </c>
      <c r="S55" s="57">
        <v>10000000</v>
      </c>
      <c r="T55" s="57">
        <v>10000000</v>
      </c>
    </row>
    <row r="56" spans="1:20" ht="41.25" x14ac:dyDescent="0.25">
      <c r="A56" s="185"/>
      <c r="B56" s="6" t="s">
        <v>88</v>
      </c>
      <c r="C56" s="9" t="s">
        <v>58</v>
      </c>
      <c r="D56" s="9" t="s">
        <v>89</v>
      </c>
      <c r="E56" s="6" t="s">
        <v>92</v>
      </c>
      <c r="F56" s="9" t="s">
        <v>93</v>
      </c>
      <c r="G56" s="9" t="s">
        <v>94</v>
      </c>
      <c r="H56" s="7" t="s">
        <v>225</v>
      </c>
      <c r="I56" s="7" t="s">
        <v>503</v>
      </c>
      <c r="J56" s="7" t="s">
        <v>407</v>
      </c>
      <c r="K56" s="44" t="s">
        <v>180</v>
      </c>
      <c r="L56" s="19" t="s">
        <v>152</v>
      </c>
      <c r="M56" s="15" t="s">
        <v>182</v>
      </c>
      <c r="N56" s="19" t="s">
        <v>221</v>
      </c>
      <c r="O56" s="13">
        <v>0</v>
      </c>
      <c r="P56" s="13">
        <v>0</v>
      </c>
      <c r="Q56" s="13">
        <v>72600</v>
      </c>
      <c r="R56" s="57">
        <v>94339</v>
      </c>
      <c r="S56" s="57">
        <v>109867</v>
      </c>
      <c r="T56" s="56">
        <v>109867</v>
      </c>
    </row>
    <row r="57" spans="1:20" ht="66" x14ac:dyDescent="0.25">
      <c r="A57" s="185"/>
      <c r="B57" s="6"/>
      <c r="C57" s="9"/>
      <c r="D57" s="9"/>
      <c r="E57" s="6"/>
      <c r="F57" s="9"/>
      <c r="G57" s="9"/>
      <c r="H57" s="38" t="s">
        <v>226</v>
      </c>
      <c r="I57" s="7" t="s">
        <v>58</v>
      </c>
      <c r="J57" s="7" t="s">
        <v>467</v>
      </c>
      <c r="K57" s="44" t="s">
        <v>180</v>
      </c>
      <c r="L57" s="19" t="s">
        <v>152</v>
      </c>
      <c r="M57" s="15" t="s">
        <v>183</v>
      </c>
      <c r="N57" s="19" t="s">
        <v>221</v>
      </c>
      <c r="O57" s="13">
        <v>262368506.25999999</v>
      </c>
      <c r="P57" s="13">
        <v>262368506.25999999</v>
      </c>
      <c r="Q57" s="13">
        <v>278775323</v>
      </c>
      <c r="R57" s="57">
        <v>288504197</v>
      </c>
      <c r="S57" s="57">
        <v>307834708</v>
      </c>
      <c r="T57" s="56">
        <v>307755051</v>
      </c>
    </row>
    <row r="58" spans="1:20" ht="41.25" x14ac:dyDescent="0.25">
      <c r="A58" s="185"/>
      <c r="B58" s="6"/>
      <c r="C58" s="9"/>
      <c r="D58" s="9"/>
      <c r="E58" s="6"/>
      <c r="F58" s="9"/>
      <c r="G58" s="9"/>
      <c r="H58" s="7" t="s">
        <v>468</v>
      </c>
      <c r="I58" s="7" t="s">
        <v>418</v>
      </c>
      <c r="J58" s="7" t="s">
        <v>407</v>
      </c>
      <c r="K58" s="44" t="s">
        <v>180</v>
      </c>
      <c r="L58" s="19" t="s">
        <v>152</v>
      </c>
      <c r="M58" s="19" t="s">
        <v>184</v>
      </c>
      <c r="N58" s="19" t="s">
        <v>223</v>
      </c>
      <c r="O58" s="13">
        <v>7204574</v>
      </c>
      <c r="P58" s="13">
        <v>6719547.5199999996</v>
      </c>
      <c r="Q58" s="13">
        <v>339757.68</v>
      </c>
      <c r="R58" s="57">
        <v>7285111</v>
      </c>
      <c r="S58" s="57">
        <v>0</v>
      </c>
      <c r="T58" s="56">
        <v>0</v>
      </c>
    </row>
    <row r="59" spans="1:20" ht="66" x14ac:dyDescent="0.25">
      <c r="A59" s="185"/>
      <c r="B59" s="6"/>
      <c r="C59" s="9"/>
      <c r="D59" s="9"/>
      <c r="E59" s="6"/>
      <c r="F59" s="9"/>
      <c r="G59" s="9"/>
      <c r="H59" s="38" t="s">
        <v>235</v>
      </c>
      <c r="I59" s="7" t="s">
        <v>236</v>
      </c>
      <c r="J59" s="39" t="s">
        <v>483</v>
      </c>
      <c r="K59" s="44" t="s">
        <v>180</v>
      </c>
      <c r="L59" s="19" t="s">
        <v>186</v>
      </c>
      <c r="M59" s="15" t="s">
        <v>181</v>
      </c>
      <c r="N59" s="19" t="s">
        <v>221</v>
      </c>
      <c r="O59" s="13">
        <v>7293600</v>
      </c>
      <c r="P59" s="13">
        <v>7274133.2800000003</v>
      </c>
      <c r="Q59" s="13">
        <v>4620000</v>
      </c>
      <c r="R59" s="57">
        <v>5160000</v>
      </c>
      <c r="S59" s="57">
        <v>5160000</v>
      </c>
      <c r="T59" s="57">
        <v>5160000</v>
      </c>
    </row>
    <row r="60" spans="1:20" ht="49.5" x14ac:dyDescent="0.25">
      <c r="A60" s="185"/>
      <c r="B60" s="6"/>
      <c r="C60" s="9"/>
      <c r="D60" s="9"/>
      <c r="E60" s="6"/>
      <c r="F60" s="9"/>
      <c r="G60" s="9"/>
      <c r="H60" s="39" t="s">
        <v>420</v>
      </c>
      <c r="I60" s="39" t="s">
        <v>58</v>
      </c>
      <c r="J60" s="39" t="s">
        <v>469</v>
      </c>
      <c r="K60" s="44" t="s">
        <v>180</v>
      </c>
      <c r="L60" s="19" t="s">
        <v>186</v>
      </c>
      <c r="M60" s="15" t="s">
        <v>187</v>
      </c>
      <c r="N60" s="19" t="s">
        <v>221</v>
      </c>
      <c r="O60" s="13">
        <v>107774776.47</v>
      </c>
      <c r="P60" s="13">
        <v>107774776.47</v>
      </c>
      <c r="Q60" s="13">
        <v>114823300</v>
      </c>
      <c r="R60" s="57">
        <v>100085127</v>
      </c>
      <c r="S60" s="57">
        <v>100085127</v>
      </c>
      <c r="T60" s="57">
        <v>100085127</v>
      </c>
    </row>
    <row r="61" spans="1:20" ht="41.25" x14ac:dyDescent="0.25">
      <c r="A61" s="185"/>
      <c r="B61" s="6"/>
      <c r="C61" s="9"/>
      <c r="D61" s="9"/>
      <c r="E61" s="6"/>
      <c r="F61" s="9"/>
      <c r="G61" s="9"/>
      <c r="H61" s="7" t="s">
        <v>171</v>
      </c>
      <c r="I61" s="20" t="s">
        <v>419</v>
      </c>
      <c r="J61" s="37" t="s">
        <v>407</v>
      </c>
      <c r="K61" s="44" t="s">
        <v>180</v>
      </c>
      <c r="L61" s="19" t="s">
        <v>186</v>
      </c>
      <c r="M61" s="15" t="s">
        <v>188</v>
      </c>
      <c r="N61" s="19" t="s">
        <v>221</v>
      </c>
      <c r="O61" s="13">
        <v>3681479.65</v>
      </c>
      <c r="P61" s="13">
        <v>3681479.65</v>
      </c>
      <c r="Q61" s="13">
        <v>3937366</v>
      </c>
      <c r="R61" s="57">
        <v>0</v>
      </c>
      <c r="S61" s="57">
        <v>0</v>
      </c>
      <c r="T61" s="57">
        <v>0</v>
      </c>
    </row>
    <row r="62" spans="1:20" ht="41.25" x14ac:dyDescent="0.25">
      <c r="A62" s="185"/>
      <c r="B62" s="6"/>
      <c r="C62" s="9"/>
      <c r="D62" s="9"/>
      <c r="E62" s="6"/>
      <c r="F62" s="9"/>
      <c r="G62" s="9"/>
      <c r="H62" s="7" t="s">
        <v>421</v>
      </c>
      <c r="I62" s="7" t="s">
        <v>58</v>
      </c>
      <c r="J62" s="7" t="s">
        <v>471</v>
      </c>
      <c r="K62" s="44" t="s">
        <v>180</v>
      </c>
      <c r="L62" s="19" t="s">
        <v>186</v>
      </c>
      <c r="M62" s="15" t="s">
        <v>191</v>
      </c>
      <c r="N62" s="19" t="s">
        <v>221</v>
      </c>
      <c r="O62" s="13">
        <v>0</v>
      </c>
      <c r="P62" s="13">
        <v>0</v>
      </c>
      <c r="Q62" s="13">
        <v>749619</v>
      </c>
      <c r="R62" s="57">
        <v>750000</v>
      </c>
      <c r="S62" s="57">
        <v>750000</v>
      </c>
      <c r="T62" s="57">
        <v>750000</v>
      </c>
    </row>
    <row r="63" spans="1:20" ht="57.75" x14ac:dyDescent="0.25">
      <c r="A63" s="185"/>
      <c r="B63" s="6"/>
      <c r="C63" s="9"/>
      <c r="D63" s="9"/>
      <c r="E63" s="6"/>
      <c r="F63" s="9"/>
      <c r="G63" s="9"/>
      <c r="H63" s="7" t="s">
        <v>470</v>
      </c>
      <c r="I63" s="7"/>
      <c r="J63" s="7" t="s">
        <v>472</v>
      </c>
      <c r="K63" s="44" t="s">
        <v>180</v>
      </c>
      <c r="L63" s="19" t="s">
        <v>186</v>
      </c>
      <c r="M63" s="15" t="s">
        <v>192</v>
      </c>
      <c r="N63" s="19" t="s">
        <v>221</v>
      </c>
      <c r="O63" s="13">
        <v>0</v>
      </c>
      <c r="P63" s="13">
        <v>0</v>
      </c>
      <c r="Q63" s="13">
        <v>50000</v>
      </c>
      <c r="R63" s="57">
        <v>100000</v>
      </c>
      <c r="S63" s="57">
        <v>100000</v>
      </c>
      <c r="T63" s="57">
        <v>100000</v>
      </c>
    </row>
    <row r="64" spans="1:20" ht="33" x14ac:dyDescent="0.25">
      <c r="A64" s="185"/>
      <c r="B64" s="6"/>
      <c r="C64" s="9"/>
      <c r="D64" s="9"/>
      <c r="E64" s="6"/>
      <c r="F64" s="9"/>
      <c r="G64" s="9"/>
      <c r="H64" s="7" t="s">
        <v>536</v>
      </c>
      <c r="I64" s="7"/>
      <c r="J64" s="7" t="s">
        <v>537</v>
      </c>
      <c r="K64" s="44" t="s">
        <v>180</v>
      </c>
      <c r="L64" s="19" t="s">
        <v>186</v>
      </c>
      <c r="M64" s="15" t="s">
        <v>193</v>
      </c>
      <c r="N64" s="19" t="s">
        <v>221</v>
      </c>
      <c r="O64" s="13">
        <v>0</v>
      </c>
      <c r="P64" s="13">
        <v>0</v>
      </c>
      <c r="Q64" s="13">
        <v>1056000</v>
      </c>
      <c r="R64" s="57">
        <v>606000</v>
      </c>
      <c r="S64" s="57">
        <v>606000</v>
      </c>
      <c r="T64" s="57">
        <v>606000</v>
      </c>
    </row>
    <row r="65" spans="1:20" x14ac:dyDescent="0.25">
      <c r="A65" s="185"/>
      <c r="B65" s="6"/>
      <c r="C65" s="9"/>
      <c r="D65" s="9"/>
      <c r="E65" s="6"/>
      <c r="F65" s="9"/>
      <c r="G65" s="9"/>
      <c r="H65" s="7"/>
      <c r="I65" s="7"/>
      <c r="J65" s="7"/>
      <c r="K65" s="44" t="s">
        <v>180</v>
      </c>
      <c r="L65" s="19" t="s">
        <v>186</v>
      </c>
      <c r="M65" s="15" t="s">
        <v>194</v>
      </c>
      <c r="N65" s="19" t="s">
        <v>221</v>
      </c>
      <c r="O65" s="13">
        <v>0</v>
      </c>
      <c r="P65" s="13">
        <v>0</v>
      </c>
      <c r="Q65" s="13">
        <v>4408900</v>
      </c>
      <c r="R65" s="57">
        <v>3308900</v>
      </c>
      <c r="S65" s="57">
        <v>3308900</v>
      </c>
      <c r="T65" s="57">
        <v>3308900</v>
      </c>
    </row>
    <row r="66" spans="1:20" x14ac:dyDescent="0.25">
      <c r="A66" s="185"/>
      <c r="B66" s="6"/>
      <c r="C66" s="9"/>
      <c r="D66" s="9"/>
      <c r="E66" s="6"/>
      <c r="F66" s="9"/>
      <c r="G66" s="9"/>
      <c r="H66" s="7"/>
      <c r="I66" s="7"/>
      <c r="J66" s="7"/>
      <c r="K66" s="44" t="s">
        <v>180</v>
      </c>
      <c r="L66" s="19" t="s">
        <v>195</v>
      </c>
      <c r="M66" s="19" t="s">
        <v>181</v>
      </c>
      <c r="N66" s="19" t="s">
        <v>221</v>
      </c>
      <c r="O66" s="13">
        <v>0</v>
      </c>
      <c r="P66" s="13">
        <v>0</v>
      </c>
      <c r="Q66" s="13">
        <v>0</v>
      </c>
      <c r="R66" s="57">
        <v>1460000</v>
      </c>
      <c r="S66" s="57">
        <v>1460000</v>
      </c>
      <c r="T66" s="57">
        <v>1460000</v>
      </c>
    </row>
    <row r="67" spans="1:20" x14ac:dyDescent="0.25">
      <c r="A67" s="185"/>
      <c r="B67" s="6"/>
      <c r="C67" s="9"/>
      <c r="D67" s="9"/>
      <c r="E67" s="6"/>
      <c r="F67" s="9"/>
      <c r="G67" s="9"/>
      <c r="H67" s="7"/>
      <c r="I67" s="7"/>
      <c r="J67" s="7"/>
      <c r="K67" s="44" t="s">
        <v>180</v>
      </c>
      <c r="L67" s="19" t="s">
        <v>195</v>
      </c>
      <c r="M67" s="19" t="s">
        <v>189</v>
      </c>
      <c r="N67" s="19" t="s">
        <v>221</v>
      </c>
      <c r="O67" s="13">
        <v>104278121.17</v>
      </c>
      <c r="P67" s="13">
        <v>104278121.17</v>
      </c>
      <c r="Q67" s="13">
        <v>119594801</v>
      </c>
      <c r="R67" s="57">
        <v>130267305</v>
      </c>
      <c r="S67" s="57">
        <v>130267305</v>
      </c>
      <c r="T67" s="57">
        <v>130267305</v>
      </c>
    </row>
    <row r="68" spans="1:20" x14ac:dyDescent="0.25">
      <c r="A68" s="185"/>
      <c r="B68" s="6"/>
      <c r="C68" s="9"/>
      <c r="D68" s="9"/>
      <c r="E68" s="6"/>
      <c r="F68" s="9"/>
      <c r="G68" s="9"/>
      <c r="H68" s="7"/>
      <c r="I68" s="7"/>
      <c r="J68" s="7"/>
      <c r="K68" s="44" t="s">
        <v>180</v>
      </c>
      <c r="L68" s="19" t="s">
        <v>195</v>
      </c>
      <c r="M68" s="19" t="s">
        <v>193</v>
      </c>
      <c r="N68" s="19" t="s">
        <v>221</v>
      </c>
      <c r="O68" s="13">
        <v>0</v>
      </c>
      <c r="P68" s="13">
        <v>0</v>
      </c>
      <c r="Q68" s="13">
        <v>0</v>
      </c>
      <c r="R68" s="57">
        <v>450000</v>
      </c>
      <c r="S68" s="57">
        <v>450000</v>
      </c>
      <c r="T68" s="57">
        <v>450000</v>
      </c>
    </row>
    <row r="69" spans="1:20" x14ac:dyDescent="0.25">
      <c r="A69" s="185"/>
      <c r="B69" s="6"/>
      <c r="C69" s="9"/>
      <c r="D69" s="9"/>
      <c r="E69" s="6"/>
      <c r="F69" s="9"/>
      <c r="G69" s="9"/>
      <c r="H69" s="7"/>
      <c r="I69" s="7"/>
      <c r="J69" s="7"/>
      <c r="K69" s="44" t="s">
        <v>180</v>
      </c>
      <c r="L69" s="19" t="s">
        <v>180</v>
      </c>
      <c r="M69" s="19" t="s">
        <v>196</v>
      </c>
      <c r="N69" s="19" t="s">
        <v>162</v>
      </c>
      <c r="O69" s="13">
        <v>22294535.18</v>
      </c>
      <c r="P69" s="13">
        <v>22294535.18</v>
      </c>
      <c r="Q69" s="13">
        <v>0</v>
      </c>
      <c r="R69" s="57">
        <v>0</v>
      </c>
      <c r="S69" s="57">
        <v>0</v>
      </c>
      <c r="T69" s="57">
        <v>0</v>
      </c>
    </row>
    <row r="70" spans="1:20" x14ac:dyDescent="0.25">
      <c r="A70" s="185"/>
      <c r="B70" s="6"/>
      <c r="C70" s="9"/>
      <c r="D70" s="9"/>
      <c r="E70" s="6"/>
      <c r="F70" s="9"/>
      <c r="G70" s="9"/>
      <c r="H70" s="7"/>
      <c r="I70" s="7"/>
      <c r="J70" s="7"/>
      <c r="K70" s="44" t="s">
        <v>180</v>
      </c>
      <c r="L70" s="19" t="s">
        <v>180</v>
      </c>
      <c r="M70" s="15" t="s">
        <v>197</v>
      </c>
      <c r="N70" s="19" t="s">
        <v>221</v>
      </c>
      <c r="O70" s="13">
        <v>1598352</v>
      </c>
      <c r="P70" s="13">
        <v>1598352</v>
      </c>
      <c r="Q70" s="13">
        <v>1598400</v>
      </c>
      <c r="R70" s="13">
        <v>1598400</v>
      </c>
      <c r="S70" s="13">
        <v>1598400</v>
      </c>
      <c r="T70" s="13">
        <v>1598400</v>
      </c>
    </row>
    <row r="71" spans="1:20" x14ac:dyDescent="0.25">
      <c r="A71" s="185"/>
      <c r="B71" s="6"/>
      <c r="C71" s="9"/>
      <c r="D71" s="9"/>
      <c r="E71" s="6"/>
      <c r="F71" s="9"/>
      <c r="G71" s="9"/>
      <c r="H71" s="7"/>
      <c r="I71" s="7"/>
      <c r="J71" s="7"/>
      <c r="K71" s="44" t="s">
        <v>180</v>
      </c>
      <c r="L71" s="19" t="s">
        <v>180</v>
      </c>
      <c r="M71" s="15" t="s">
        <v>198</v>
      </c>
      <c r="N71" s="19" t="s">
        <v>221</v>
      </c>
      <c r="O71" s="13">
        <v>0</v>
      </c>
      <c r="P71" s="13">
        <v>0</v>
      </c>
      <c r="Q71" s="13">
        <v>4970000</v>
      </c>
      <c r="R71" s="13">
        <v>4970000</v>
      </c>
      <c r="S71" s="13">
        <v>4970000</v>
      </c>
      <c r="T71" s="13">
        <v>4970000</v>
      </c>
    </row>
    <row r="72" spans="1:20" x14ac:dyDescent="0.25">
      <c r="A72" s="185"/>
      <c r="B72" s="6"/>
      <c r="C72" s="9"/>
      <c r="D72" s="9"/>
      <c r="E72" s="6"/>
      <c r="F72" s="9"/>
      <c r="G72" s="9"/>
      <c r="H72" s="7"/>
      <c r="I72" s="7"/>
      <c r="J72" s="7"/>
      <c r="K72" s="44" t="s">
        <v>180</v>
      </c>
      <c r="L72" s="19" t="s">
        <v>199</v>
      </c>
      <c r="M72" s="15" t="s">
        <v>203</v>
      </c>
      <c r="N72" s="19" t="s">
        <v>221</v>
      </c>
      <c r="O72" s="13">
        <v>0</v>
      </c>
      <c r="P72" s="13">
        <v>0</v>
      </c>
      <c r="Q72" s="13">
        <v>400000</v>
      </c>
      <c r="R72" s="57">
        <v>0</v>
      </c>
      <c r="S72" s="57">
        <v>0</v>
      </c>
      <c r="T72" s="56">
        <v>0</v>
      </c>
    </row>
    <row r="73" spans="1:20" x14ac:dyDescent="0.25">
      <c r="A73" s="185"/>
      <c r="B73" s="6"/>
      <c r="C73" s="9"/>
      <c r="D73" s="9"/>
      <c r="E73" s="6"/>
      <c r="F73" s="9"/>
      <c r="G73" s="9"/>
      <c r="H73" s="7"/>
      <c r="I73" s="7"/>
      <c r="J73" s="7"/>
      <c r="K73" s="44" t="s">
        <v>180</v>
      </c>
      <c r="L73" s="19" t="s">
        <v>199</v>
      </c>
      <c r="M73" s="15" t="s">
        <v>204</v>
      </c>
      <c r="N73" s="19" t="s">
        <v>221</v>
      </c>
      <c r="O73" s="13">
        <v>224048.7</v>
      </c>
      <c r="P73" s="13">
        <v>224048.7</v>
      </c>
      <c r="Q73" s="13">
        <v>290000</v>
      </c>
      <c r="R73" s="13">
        <v>290000</v>
      </c>
      <c r="S73" s="13">
        <v>290000</v>
      </c>
      <c r="T73" s="13">
        <v>290000</v>
      </c>
    </row>
    <row r="74" spans="1:20" x14ac:dyDescent="0.25">
      <c r="A74" s="185"/>
      <c r="B74" s="6"/>
      <c r="C74" s="9"/>
      <c r="D74" s="9"/>
      <c r="E74" s="6"/>
      <c r="F74" s="9"/>
      <c r="G74" s="9"/>
      <c r="H74" s="7"/>
      <c r="I74" s="7"/>
      <c r="J74" s="7"/>
      <c r="K74" s="44" t="s">
        <v>180</v>
      </c>
      <c r="L74" s="19" t="s">
        <v>199</v>
      </c>
      <c r="M74" s="15" t="s">
        <v>205</v>
      </c>
      <c r="N74" s="19" t="s">
        <v>221</v>
      </c>
      <c r="O74" s="13">
        <v>0</v>
      </c>
      <c r="P74" s="13">
        <v>0</v>
      </c>
      <c r="Q74" s="13">
        <v>3454441</v>
      </c>
      <c r="R74" s="57">
        <v>3454000</v>
      </c>
      <c r="S74" s="57">
        <v>3454000</v>
      </c>
      <c r="T74" s="57">
        <v>3454000</v>
      </c>
    </row>
    <row r="75" spans="1:20" x14ac:dyDescent="0.25">
      <c r="A75" s="185"/>
      <c r="B75" s="6"/>
      <c r="C75" s="9"/>
      <c r="D75" s="9"/>
      <c r="E75" s="6"/>
      <c r="F75" s="9"/>
      <c r="G75" s="9"/>
      <c r="H75" s="7"/>
      <c r="I75" s="7"/>
      <c r="J75" s="7"/>
      <c r="K75" s="44" t="s">
        <v>180</v>
      </c>
      <c r="L75" s="19" t="s">
        <v>199</v>
      </c>
      <c r="M75" s="15" t="s">
        <v>208</v>
      </c>
      <c r="N75" s="19" t="s">
        <v>221</v>
      </c>
      <c r="O75" s="13">
        <v>0</v>
      </c>
      <c r="P75" s="13">
        <v>0</v>
      </c>
      <c r="Q75" s="13">
        <v>1584940</v>
      </c>
      <c r="R75" s="57">
        <v>1535000</v>
      </c>
      <c r="S75" s="57">
        <v>1535000</v>
      </c>
      <c r="T75" s="57">
        <v>1535000</v>
      </c>
    </row>
    <row r="76" spans="1:20" x14ac:dyDescent="0.25">
      <c r="A76" s="185"/>
      <c r="B76" s="6"/>
      <c r="C76" s="9"/>
      <c r="D76" s="9"/>
      <c r="E76" s="6"/>
      <c r="F76" s="9"/>
      <c r="G76" s="9"/>
      <c r="H76" s="7"/>
      <c r="I76" s="7"/>
      <c r="J76" s="7"/>
      <c r="K76" s="44" t="s">
        <v>180</v>
      </c>
      <c r="L76" s="19" t="s">
        <v>199</v>
      </c>
      <c r="M76" s="15" t="s">
        <v>209</v>
      </c>
      <c r="N76" s="19" t="s">
        <v>221</v>
      </c>
      <c r="O76" s="13">
        <v>1560801.65</v>
      </c>
      <c r="P76" s="13">
        <v>1560801.65</v>
      </c>
      <c r="Q76" s="13">
        <v>880000</v>
      </c>
      <c r="R76" s="57">
        <v>1200000</v>
      </c>
      <c r="S76" s="57">
        <v>1200000</v>
      </c>
      <c r="T76" s="57">
        <v>1200000</v>
      </c>
    </row>
    <row r="77" spans="1:20" x14ac:dyDescent="0.25">
      <c r="A77" s="185"/>
      <c r="B77" s="6"/>
      <c r="C77" s="9"/>
      <c r="D77" s="9"/>
      <c r="E77" s="6"/>
      <c r="F77" s="9"/>
      <c r="G77" s="9"/>
      <c r="H77" s="7"/>
      <c r="I77" s="7"/>
      <c r="J77" s="7"/>
      <c r="K77" s="44" t="s">
        <v>180</v>
      </c>
      <c r="L77" s="19" t="s">
        <v>199</v>
      </c>
      <c r="M77" s="15" t="s">
        <v>210</v>
      </c>
      <c r="N77" s="19" t="s">
        <v>221</v>
      </c>
      <c r="O77" s="13">
        <v>34843406.799999997</v>
      </c>
      <c r="P77" s="13">
        <v>34843406.799999997</v>
      </c>
      <c r="Q77" s="13">
        <f>35109700+440000</f>
        <v>35549700</v>
      </c>
      <c r="R77" s="57">
        <f>35188462+440000</f>
        <v>35628462</v>
      </c>
      <c r="S77" s="57">
        <f>35188462+440000</f>
        <v>35628462</v>
      </c>
      <c r="T77" s="57">
        <f>35188462+440000</f>
        <v>35628462</v>
      </c>
    </row>
    <row r="78" spans="1:20" x14ac:dyDescent="0.25">
      <c r="A78" s="185"/>
      <c r="B78" s="6"/>
      <c r="C78" s="9"/>
      <c r="D78" s="9"/>
      <c r="E78" s="6"/>
      <c r="F78" s="9"/>
      <c r="G78" s="9"/>
      <c r="H78" s="7"/>
      <c r="I78" s="7"/>
      <c r="J78" s="7"/>
      <c r="K78" s="44" t="s">
        <v>180</v>
      </c>
      <c r="L78" s="19" t="s">
        <v>199</v>
      </c>
      <c r="M78" s="15" t="s">
        <v>211</v>
      </c>
      <c r="N78" s="19" t="s">
        <v>221</v>
      </c>
      <c r="O78" s="13">
        <v>18425686.850000001</v>
      </c>
      <c r="P78" s="13">
        <v>18425686.850000001</v>
      </c>
      <c r="Q78" s="13">
        <f>17846599+340000</f>
        <v>18186599</v>
      </c>
      <c r="R78" s="57">
        <f>19429614+340000</f>
        <v>19769614</v>
      </c>
      <c r="S78" s="57">
        <f>19429614+340000</f>
        <v>19769614</v>
      </c>
      <c r="T78" s="57">
        <f>19429614+340000</f>
        <v>19769614</v>
      </c>
    </row>
    <row r="79" spans="1:20" x14ac:dyDescent="0.25">
      <c r="A79" s="185"/>
      <c r="B79" s="6"/>
      <c r="C79" s="9"/>
      <c r="D79" s="9"/>
      <c r="E79" s="6"/>
      <c r="F79" s="9"/>
      <c r="G79" s="9"/>
      <c r="H79" s="7"/>
      <c r="I79" s="7"/>
      <c r="J79" s="7"/>
      <c r="K79" s="44" t="s">
        <v>180</v>
      </c>
      <c r="L79" s="19" t="s">
        <v>199</v>
      </c>
      <c r="M79" s="15" t="s">
        <v>212</v>
      </c>
      <c r="N79" s="19" t="s">
        <v>221</v>
      </c>
      <c r="O79" s="13">
        <v>29447354.02</v>
      </c>
      <c r="P79" s="13">
        <v>29447354.02</v>
      </c>
      <c r="Q79" s="13">
        <f>15656200+220000</f>
        <v>15876200</v>
      </c>
      <c r="R79" s="57">
        <f>15982212+220000</f>
        <v>16202212</v>
      </c>
      <c r="S79" s="57">
        <f>15982212+220000</f>
        <v>16202212</v>
      </c>
      <c r="T79" s="57">
        <f>15982212+220000</f>
        <v>16202212</v>
      </c>
    </row>
    <row r="80" spans="1:20" x14ac:dyDescent="0.25">
      <c r="A80" s="185"/>
      <c r="B80" s="6"/>
      <c r="C80" s="9"/>
      <c r="D80" s="9"/>
      <c r="E80" s="6"/>
      <c r="F80" s="9"/>
      <c r="G80" s="9"/>
      <c r="H80" s="7"/>
      <c r="I80" s="7"/>
      <c r="J80" s="7"/>
      <c r="K80" s="44" t="s">
        <v>180</v>
      </c>
      <c r="L80" s="19" t="s">
        <v>199</v>
      </c>
      <c r="M80" s="15" t="s">
        <v>213</v>
      </c>
      <c r="N80" s="19" t="s">
        <v>221</v>
      </c>
      <c r="O80" s="13">
        <v>400000</v>
      </c>
      <c r="P80" s="13">
        <v>350872.38</v>
      </c>
      <c r="Q80" s="13">
        <v>650000</v>
      </c>
      <c r="R80" s="13">
        <v>650000</v>
      </c>
      <c r="S80" s="13">
        <v>650000</v>
      </c>
      <c r="T80" s="13">
        <v>650000</v>
      </c>
    </row>
    <row r="81" spans="1:21" x14ac:dyDescent="0.25">
      <c r="A81" s="185"/>
      <c r="B81" s="6"/>
      <c r="C81" s="9"/>
      <c r="D81" s="9"/>
      <c r="E81" s="6"/>
      <c r="F81" s="9"/>
      <c r="G81" s="9"/>
      <c r="H81" s="7"/>
      <c r="I81" s="7"/>
      <c r="J81" s="7"/>
      <c r="K81" s="44" t="s">
        <v>180</v>
      </c>
      <c r="L81" s="19" t="s">
        <v>199</v>
      </c>
      <c r="M81" s="15" t="s">
        <v>214</v>
      </c>
      <c r="N81" s="19" t="s">
        <v>221</v>
      </c>
      <c r="O81" s="13">
        <v>36318782.630000003</v>
      </c>
      <c r="P81" s="13">
        <v>36318782.630000003</v>
      </c>
      <c r="Q81" s="13">
        <v>33163000</v>
      </c>
      <c r="R81" s="57">
        <v>33463000</v>
      </c>
      <c r="S81" s="57">
        <v>33463000</v>
      </c>
      <c r="T81" s="57">
        <v>33463000</v>
      </c>
    </row>
    <row r="82" spans="1:21" x14ac:dyDescent="0.25">
      <c r="A82" s="185"/>
      <c r="B82" s="6"/>
      <c r="C82" s="9"/>
      <c r="D82" s="9"/>
      <c r="E82" s="6"/>
      <c r="F82" s="9"/>
      <c r="G82" s="9"/>
      <c r="H82" s="7"/>
      <c r="I82" s="7"/>
      <c r="J82" s="7"/>
      <c r="K82" s="44" t="s">
        <v>243</v>
      </c>
      <c r="L82" s="19" t="s">
        <v>244</v>
      </c>
      <c r="M82" s="15" t="s">
        <v>216</v>
      </c>
      <c r="N82" s="19" t="s">
        <v>221</v>
      </c>
      <c r="O82" s="13">
        <v>0</v>
      </c>
      <c r="P82" s="13">
        <v>0</v>
      </c>
      <c r="Q82" s="13">
        <v>150000</v>
      </c>
      <c r="R82" s="57">
        <v>790000</v>
      </c>
      <c r="S82" s="57">
        <v>559000</v>
      </c>
      <c r="T82" s="56">
        <v>813000</v>
      </c>
    </row>
    <row r="83" spans="1:21" x14ac:dyDescent="0.25">
      <c r="A83" s="185"/>
      <c r="B83" s="6"/>
      <c r="C83" s="9"/>
      <c r="D83" s="9"/>
      <c r="E83" s="6"/>
      <c r="F83" s="9"/>
      <c r="G83" s="9"/>
      <c r="H83" s="7"/>
      <c r="I83" s="7"/>
      <c r="J83" s="7"/>
      <c r="K83" s="44" t="s">
        <v>152</v>
      </c>
      <c r="L83" s="19" t="s">
        <v>153</v>
      </c>
      <c r="M83" s="19" t="s">
        <v>217</v>
      </c>
      <c r="N83" s="19" t="s">
        <v>155</v>
      </c>
      <c r="O83" s="13">
        <f>3979861+1113008</f>
        <v>5092869</v>
      </c>
      <c r="P83" s="13">
        <f>3921442.91+1094292.46</f>
        <v>5015735.37</v>
      </c>
      <c r="Q83" s="13">
        <f>3790079.15+1101065.85</f>
        <v>4891145</v>
      </c>
      <c r="R83" s="13">
        <f>3790079.15+1101065.85</f>
        <v>4891145</v>
      </c>
      <c r="S83" s="13">
        <f>3790079.15+1101065.85</f>
        <v>4891145</v>
      </c>
      <c r="T83" s="13">
        <f>3790079.15+1101065.85</f>
        <v>4891145</v>
      </c>
    </row>
    <row r="84" spans="1:21" x14ac:dyDescent="0.25">
      <c r="A84" s="185"/>
      <c r="B84" s="6"/>
      <c r="C84" s="9"/>
      <c r="D84" s="9"/>
      <c r="E84" s="6"/>
      <c r="F84" s="9"/>
      <c r="G84" s="9"/>
      <c r="H84" s="7"/>
      <c r="I84" s="7"/>
      <c r="J84" s="7"/>
      <c r="K84" s="44" t="s">
        <v>152</v>
      </c>
      <c r="L84" s="19" t="s">
        <v>153</v>
      </c>
      <c r="M84" s="19" t="s">
        <v>218</v>
      </c>
      <c r="N84" s="19" t="s">
        <v>170</v>
      </c>
      <c r="O84" s="13">
        <v>800</v>
      </c>
      <c r="P84" s="13">
        <v>800</v>
      </c>
      <c r="Q84" s="13">
        <v>0</v>
      </c>
      <c r="R84" s="13">
        <v>0</v>
      </c>
      <c r="S84" s="13">
        <v>0</v>
      </c>
      <c r="T84" s="13">
        <v>0</v>
      </c>
    </row>
    <row r="85" spans="1:21" x14ac:dyDescent="0.25">
      <c r="A85" s="185"/>
      <c r="B85" s="6"/>
      <c r="C85" s="9"/>
      <c r="D85" s="9"/>
      <c r="E85" s="6"/>
      <c r="F85" s="9"/>
      <c r="G85" s="9"/>
      <c r="H85" s="7"/>
      <c r="I85" s="7"/>
      <c r="J85" s="7"/>
      <c r="K85" s="44" t="s">
        <v>152</v>
      </c>
      <c r="L85" s="19" t="s">
        <v>160</v>
      </c>
      <c r="M85" s="19" t="s">
        <v>161</v>
      </c>
      <c r="N85" s="19" t="s">
        <v>162</v>
      </c>
      <c r="O85" s="13">
        <v>0</v>
      </c>
      <c r="P85" s="13">
        <v>0</v>
      </c>
      <c r="Q85" s="13">
        <v>150000</v>
      </c>
      <c r="R85" s="13">
        <v>150000</v>
      </c>
      <c r="S85" s="13">
        <v>150000</v>
      </c>
      <c r="T85" s="13">
        <v>150000</v>
      </c>
    </row>
    <row r="86" spans="1:21" x14ac:dyDescent="0.25">
      <c r="A86" s="185"/>
      <c r="B86" s="6"/>
      <c r="C86" s="9"/>
      <c r="D86" s="9"/>
      <c r="E86" s="6"/>
      <c r="F86" s="9"/>
      <c r="G86" s="9"/>
      <c r="H86" s="7"/>
      <c r="I86" s="7"/>
      <c r="J86" s="7"/>
      <c r="K86" s="44" t="s">
        <v>152</v>
      </c>
      <c r="L86" s="19" t="s">
        <v>153</v>
      </c>
      <c r="M86" s="19" t="s">
        <v>552</v>
      </c>
      <c r="N86" s="19" t="s">
        <v>155</v>
      </c>
      <c r="O86" s="13">
        <v>0</v>
      </c>
      <c r="P86" s="13">
        <v>0</v>
      </c>
      <c r="Q86" s="13">
        <v>4000</v>
      </c>
      <c r="R86" s="13">
        <v>4000</v>
      </c>
      <c r="S86" s="13">
        <v>4000</v>
      </c>
      <c r="T86" s="13">
        <v>4000</v>
      </c>
      <c r="U86" s="19" t="s">
        <v>166</v>
      </c>
    </row>
    <row r="87" spans="1:21" x14ac:dyDescent="0.25">
      <c r="A87" s="185"/>
      <c r="B87" s="6"/>
      <c r="C87" s="9"/>
      <c r="D87" s="9"/>
      <c r="E87" s="6"/>
      <c r="F87" s="9"/>
      <c r="G87" s="9"/>
      <c r="H87" s="7"/>
      <c r="I87" s="7"/>
      <c r="J87" s="7"/>
      <c r="K87" s="44" t="s">
        <v>152</v>
      </c>
      <c r="L87" s="19" t="s">
        <v>153</v>
      </c>
      <c r="M87" s="19" t="s">
        <v>552</v>
      </c>
      <c r="N87" s="19" t="s">
        <v>162</v>
      </c>
      <c r="O87" s="13">
        <v>220600</v>
      </c>
      <c r="P87" s="13">
        <v>220600</v>
      </c>
      <c r="Q87" s="13">
        <v>200000</v>
      </c>
      <c r="R87" s="13">
        <v>200000</v>
      </c>
      <c r="S87" s="13">
        <v>200000</v>
      </c>
      <c r="T87" s="13">
        <v>200000</v>
      </c>
      <c r="U87" s="19" t="s">
        <v>166</v>
      </c>
    </row>
    <row r="88" spans="1:21" x14ac:dyDescent="0.25">
      <c r="A88" s="185"/>
      <c r="B88" s="6"/>
      <c r="C88" s="9"/>
      <c r="D88" s="9"/>
      <c r="E88" s="6"/>
      <c r="F88" s="9"/>
      <c r="G88" s="9"/>
      <c r="H88" s="7"/>
      <c r="I88" s="7"/>
      <c r="J88" s="7"/>
      <c r="K88" s="44" t="s">
        <v>152</v>
      </c>
      <c r="L88" s="19" t="s">
        <v>160</v>
      </c>
      <c r="M88" s="19" t="s">
        <v>168</v>
      </c>
      <c r="N88" s="19" t="s">
        <v>155</v>
      </c>
      <c r="O88" s="13">
        <v>61772.35</v>
      </c>
      <c r="P88" s="13">
        <v>61772.35</v>
      </c>
      <c r="Q88" s="13">
        <v>100000</v>
      </c>
      <c r="R88" s="13">
        <v>100000</v>
      </c>
      <c r="S88" s="13">
        <v>100000</v>
      </c>
      <c r="T88" s="13">
        <v>100000</v>
      </c>
    </row>
    <row r="89" spans="1:21" x14ac:dyDescent="0.25">
      <c r="A89" s="185"/>
      <c r="B89" s="6"/>
      <c r="C89" s="9"/>
      <c r="D89" s="9"/>
      <c r="E89" s="6"/>
      <c r="F89" s="9"/>
      <c r="G89" s="9"/>
      <c r="H89" s="7"/>
      <c r="I89" s="7"/>
      <c r="J89" s="7"/>
      <c r="K89" s="44" t="s">
        <v>152</v>
      </c>
      <c r="L89" s="19" t="s">
        <v>160</v>
      </c>
      <c r="M89" s="19" t="s">
        <v>169</v>
      </c>
      <c r="N89" s="19" t="s">
        <v>162</v>
      </c>
      <c r="O89" s="13">
        <f>5310.51+200000</f>
        <v>205310.51</v>
      </c>
      <c r="P89" s="13">
        <f>5310.51+196312.44</f>
        <v>201622.95</v>
      </c>
      <c r="Q89" s="13">
        <v>10000</v>
      </c>
      <c r="R89" s="13">
        <v>160000</v>
      </c>
      <c r="S89" s="13">
        <v>160000</v>
      </c>
      <c r="T89" s="13">
        <v>160000</v>
      </c>
    </row>
    <row r="90" spans="1:21" x14ac:dyDescent="0.25">
      <c r="A90" s="185"/>
      <c r="B90" s="6"/>
      <c r="C90" s="9"/>
      <c r="D90" s="9"/>
      <c r="E90" s="6"/>
      <c r="F90" s="9"/>
      <c r="G90" s="9"/>
      <c r="H90" s="7"/>
      <c r="I90" s="7"/>
      <c r="J90" s="7"/>
      <c r="K90" s="44" t="s">
        <v>152</v>
      </c>
      <c r="L90" s="19" t="s">
        <v>160</v>
      </c>
      <c r="M90" s="19" t="s">
        <v>177</v>
      </c>
      <c r="N90" s="19" t="s">
        <v>222</v>
      </c>
      <c r="O90" s="13">
        <v>281657.36</v>
      </c>
      <c r="P90" s="13">
        <v>281657.36</v>
      </c>
      <c r="Q90" s="13">
        <v>59631.15</v>
      </c>
      <c r="R90" s="13">
        <v>0</v>
      </c>
      <c r="S90" s="13">
        <v>0</v>
      </c>
      <c r="T90" s="13">
        <v>0</v>
      </c>
    </row>
    <row r="91" spans="1:21" x14ac:dyDescent="0.25">
      <c r="A91" s="185"/>
      <c r="B91" s="6"/>
      <c r="C91" s="9"/>
      <c r="D91" s="9"/>
      <c r="E91" s="6"/>
      <c r="F91" s="9"/>
      <c r="G91" s="9"/>
      <c r="H91" s="7"/>
      <c r="I91" s="7"/>
      <c r="J91" s="7"/>
      <c r="K91" s="44" t="s">
        <v>180</v>
      </c>
      <c r="L91" s="19" t="s">
        <v>180</v>
      </c>
      <c r="M91" s="19" t="s">
        <v>219</v>
      </c>
      <c r="N91" s="19" t="s">
        <v>155</v>
      </c>
      <c r="O91" s="13">
        <v>0</v>
      </c>
      <c r="P91" s="13">
        <v>0</v>
      </c>
      <c r="Q91" s="13">
        <f>54100+125900</f>
        <v>180000</v>
      </c>
      <c r="R91" s="13">
        <v>180000</v>
      </c>
      <c r="S91" s="13">
        <v>180000</v>
      </c>
      <c r="T91" s="13">
        <v>180000</v>
      </c>
    </row>
    <row r="92" spans="1:21" x14ac:dyDescent="0.25">
      <c r="A92" s="185"/>
      <c r="B92" s="6"/>
      <c r="C92" s="9"/>
      <c r="D92" s="9"/>
      <c r="E92" s="6"/>
      <c r="F92" s="9"/>
      <c r="G92" s="9"/>
      <c r="H92" s="7"/>
      <c r="I92" s="7"/>
      <c r="J92" s="7"/>
      <c r="K92" s="44" t="s">
        <v>180</v>
      </c>
      <c r="L92" s="19" t="s">
        <v>180</v>
      </c>
      <c r="M92" s="19" t="s">
        <v>196</v>
      </c>
      <c r="N92" s="19" t="s">
        <v>162</v>
      </c>
      <c r="O92" s="13">
        <v>0</v>
      </c>
      <c r="P92" s="13">
        <v>0</v>
      </c>
      <c r="Q92" s="13">
        <v>0</v>
      </c>
      <c r="R92" s="57">
        <v>3715600</v>
      </c>
      <c r="S92" s="57">
        <v>3715600</v>
      </c>
      <c r="T92" s="57">
        <v>3715600</v>
      </c>
    </row>
    <row r="93" spans="1:21" x14ac:dyDescent="0.25">
      <c r="A93" s="185"/>
      <c r="B93" s="6"/>
      <c r="C93" s="9"/>
      <c r="D93" s="9"/>
      <c r="E93" s="6"/>
      <c r="F93" s="9"/>
      <c r="G93" s="9"/>
      <c r="H93" s="7"/>
      <c r="I93" s="7"/>
      <c r="J93" s="7"/>
      <c r="K93" s="44" t="s">
        <v>180</v>
      </c>
      <c r="L93" s="19" t="s">
        <v>199</v>
      </c>
      <c r="M93" s="19" t="s">
        <v>220</v>
      </c>
      <c r="N93" s="19" t="s">
        <v>162</v>
      </c>
      <c r="O93" s="13">
        <v>0</v>
      </c>
      <c r="P93" s="13">
        <v>0</v>
      </c>
      <c r="Q93" s="13">
        <v>100000</v>
      </c>
      <c r="R93" s="13">
        <v>100000</v>
      </c>
      <c r="S93" s="13">
        <v>100000</v>
      </c>
      <c r="T93" s="13">
        <v>100000</v>
      </c>
    </row>
    <row r="94" spans="1:21" x14ac:dyDescent="0.25">
      <c r="A94" s="185"/>
      <c r="B94" s="6"/>
      <c r="C94" s="9"/>
      <c r="D94" s="9"/>
      <c r="E94" s="6"/>
      <c r="F94" s="9"/>
      <c r="G94" s="9"/>
      <c r="H94" s="7"/>
      <c r="I94" s="7"/>
      <c r="J94" s="7"/>
      <c r="K94" s="44" t="s">
        <v>180</v>
      </c>
      <c r="L94" s="19" t="s">
        <v>186</v>
      </c>
      <c r="M94" s="15" t="s">
        <v>190</v>
      </c>
      <c r="N94" s="19" t="s">
        <v>221</v>
      </c>
      <c r="O94" s="13">
        <v>769250.85</v>
      </c>
      <c r="P94" s="13">
        <v>769250.85</v>
      </c>
      <c r="Q94" s="13">
        <v>0</v>
      </c>
      <c r="R94" s="57">
        <v>0</v>
      </c>
      <c r="S94" s="57">
        <v>0</v>
      </c>
      <c r="T94" s="57">
        <v>0</v>
      </c>
    </row>
    <row r="95" spans="1:21" x14ac:dyDescent="0.25">
      <c r="A95" s="185"/>
      <c r="B95" s="6"/>
      <c r="C95" s="9"/>
      <c r="D95" s="9"/>
      <c r="E95" s="6"/>
      <c r="F95" s="9"/>
      <c r="G95" s="9"/>
      <c r="H95" s="7"/>
      <c r="I95" s="7"/>
      <c r="J95" s="7"/>
      <c r="K95" s="44" t="s">
        <v>180</v>
      </c>
      <c r="L95" s="19" t="s">
        <v>199</v>
      </c>
      <c r="M95" s="15" t="s">
        <v>215</v>
      </c>
      <c r="N95" s="19" t="s">
        <v>221</v>
      </c>
      <c r="O95" s="13">
        <v>722979.18</v>
      </c>
      <c r="P95" s="13">
        <v>722979.18</v>
      </c>
      <c r="Q95" s="13">
        <v>0</v>
      </c>
      <c r="R95" s="57">
        <v>0</v>
      </c>
      <c r="S95" s="57">
        <v>0</v>
      </c>
      <c r="T95" s="57">
        <v>0</v>
      </c>
    </row>
    <row r="96" spans="1:21" x14ac:dyDescent="0.25">
      <c r="A96" s="185"/>
      <c r="B96" s="6"/>
      <c r="C96" s="9"/>
      <c r="D96" s="9"/>
      <c r="E96" s="6"/>
      <c r="F96" s="9"/>
      <c r="G96" s="9"/>
      <c r="H96" s="7"/>
      <c r="I96" s="7"/>
      <c r="J96" s="7"/>
      <c r="K96" s="44" t="s">
        <v>180</v>
      </c>
      <c r="L96" s="19" t="s">
        <v>152</v>
      </c>
      <c r="M96" s="19" t="s">
        <v>185</v>
      </c>
      <c r="N96" s="19" t="s">
        <v>221</v>
      </c>
      <c r="O96" s="13">
        <v>930505.34</v>
      </c>
      <c r="P96" s="13">
        <v>930505.34</v>
      </c>
      <c r="Q96" s="13">
        <v>0</v>
      </c>
      <c r="R96" s="57">
        <v>0</v>
      </c>
      <c r="S96" s="57">
        <v>0</v>
      </c>
      <c r="T96" s="56">
        <v>0</v>
      </c>
    </row>
    <row r="97" spans="1:20" x14ac:dyDescent="0.25">
      <c r="A97" s="185"/>
      <c r="B97" s="6"/>
      <c r="C97" s="9"/>
      <c r="D97" s="9"/>
      <c r="E97" s="6"/>
      <c r="F97" s="9"/>
      <c r="G97" s="9"/>
      <c r="H97" s="7"/>
      <c r="I97" s="7"/>
      <c r="J97" s="7"/>
      <c r="K97" s="44" t="s">
        <v>180</v>
      </c>
      <c r="L97" s="19" t="s">
        <v>199</v>
      </c>
      <c r="M97" s="15" t="s">
        <v>206</v>
      </c>
      <c r="N97" s="19" t="s">
        <v>162</v>
      </c>
      <c r="O97" s="13">
        <v>64640.58</v>
      </c>
      <c r="P97" s="13">
        <v>64457.120000000003</v>
      </c>
      <c r="Q97" s="13">
        <v>0</v>
      </c>
      <c r="R97" s="57">
        <v>0</v>
      </c>
      <c r="S97" s="13">
        <v>0</v>
      </c>
      <c r="T97" s="57">
        <v>0</v>
      </c>
    </row>
    <row r="98" spans="1:20" x14ac:dyDescent="0.25">
      <c r="A98" s="185"/>
      <c r="B98" s="6"/>
      <c r="C98" s="9"/>
      <c r="D98" s="9"/>
      <c r="E98" s="6"/>
      <c r="F98" s="9"/>
      <c r="G98" s="9"/>
      <c r="H98" s="7"/>
      <c r="I98" s="7"/>
      <c r="J98" s="7"/>
      <c r="K98" s="44" t="s">
        <v>180</v>
      </c>
      <c r="L98" s="19" t="s">
        <v>199</v>
      </c>
      <c r="M98" s="15" t="s">
        <v>207</v>
      </c>
      <c r="N98" s="19" t="s">
        <v>162</v>
      </c>
      <c r="O98" s="13">
        <v>35359.42</v>
      </c>
      <c r="P98" s="13">
        <v>35359.42</v>
      </c>
      <c r="Q98" s="13">
        <v>0</v>
      </c>
      <c r="R98" s="57">
        <v>0</v>
      </c>
      <c r="S98" s="13">
        <v>0</v>
      </c>
      <c r="T98" s="57">
        <v>0</v>
      </c>
    </row>
    <row r="99" spans="1:20" x14ac:dyDescent="0.25">
      <c r="A99" s="185"/>
      <c r="B99" s="6"/>
      <c r="C99" s="9"/>
      <c r="D99" s="9"/>
      <c r="E99" s="6"/>
      <c r="F99" s="9"/>
      <c r="G99" s="9"/>
      <c r="H99" s="7"/>
      <c r="I99" s="7"/>
      <c r="J99" s="7"/>
      <c r="K99" s="101" t="s">
        <v>180</v>
      </c>
      <c r="L99" s="102" t="s">
        <v>186</v>
      </c>
      <c r="M99" s="102" t="s">
        <v>231</v>
      </c>
      <c r="N99" s="102" t="s">
        <v>256</v>
      </c>
      <c r="O99" s="58">
        <v>85741900</v>
      </c>
      <c r="P99" s="58">
        <v>85741900</v>
      </c>
      <c r="Q99" s="58">
        <v>88262402.200000003</v>
      </c>
      <c r="R99" s="58">
        <v>104800139.67</v>
      </c>
      <c r="S99" s="58">
        <v>98900572.689999998</v>
      </c>
      <c r="T99" s="58">
        <v>98900572.689999998</v>
      </c>
    </row>
    <row r="100" spans="1:20" x14ac:dyDescent="0.25">
      <c r="A100" s="185"/>
      <c r="B100" s="6"/>
      <c r="C100" s="9"/>
      <c r="D100" s="9"/>
      <c r="E100" s="6"/>
      <c r="F100" s="9"/>
      <c r="G100" s="9"/>
      <c r="H100" s="7"/>
      <c r="I100" s="7"/>
      <c r="J100" s="7"/>
      <c r="K100" s="138" t="s">
        <v>180</v>
      </c>
      <c r="L100" s="138" t="s">
        <v>186</v>
      </c>
      <c r="M100" s="138" t="s">
        <v>232</v>
      </c>
      <c r="N100" s="138" t="s">
        <v>221</v>
      </c>
      <c r="O100" s="13">
        <v>1302861.77</v>
      </c>
      <c r="P100" s="13">
        <v>1250212.69</v>
      </c>
      <c r="Q100" s="13">
        <v>1496800</v>
      </c>
      <c r="R100" s="13">
        <v>1500000</v>
      </c>
      <c r="S100" s="13">
        <v>1500000</v>
      </c>
      <c r="T100" s="13">
        <v>1500000</v>
      </c>
    </row>
    <row r="101" spans="1:20" x14ac:dyDescent="0.25">
      <c r="A101" s="185"/>
      <c r="B101" s="6"/>
      <c r="C101" s="9"/>
      <c r="D101" s="9"/>
      <c r="E101" s="6"/>
      <c r="F101" s="9"/>
      <c r="G101" s="9"/>
      <c r="H101" s="7"/>
      <c r="I101" s="7"/>
      <c r="J101" s="7"/>
      <c r="K101" s="44" t="s">
        <v>180</v>
      </c>
      <c r="L101" s="19" t="s">
        <v>186</v>
      </c>
      <c r="M101" s="19" t="s">
        <v>227</v>
      </c>
      <c r="N101" s="19" t="s">
        <v>221</v>
      </c>
      <c r="O101" s="13">
        <v>0</v>
      </c>
      <c r="P101" s="13">
        <v>0</v>
      </c>
      <c r="Q101" s="13">
        <v>146600</v>
      </c>
      <c r="R101" s="13">
        <v>139800</v>
      </c>
      <c r="S101" s="13">
        <v>139800</v>
      </c>
      <c r="T101" s="13">
        <v>139800</v>
      </c>
    </row>
    <row r="102" spans="1:20" x14ac:dyDescent="0.25">
      <c r="A102" s="185"/>
      <c r="B102" s="6"/>
      <c r="C102" s="9"/>
      <c r="D102" s="9"/>
      <c r="E102" s="6"/>
      <c r="F102" s="9"/>
      <c r="G102" s="9"/>
      <c r="H102" s="7"/>
      <c r="I102" s="7"/>
      <c r="J102" s="7"/>
      <c r="K102" s="59" t="s">
        <v>180</v>
      </c>
      <c r="L102" s="60" t="s">
        <v>186</v>
      </c>
      <c r="M102" s="60" t="s">
        <v>230</v>
      </c>
      <c r="N102" s="60" t="s">
        <v>221</v>
      </c>
      <c r="O102" s="61">
        <v>0</v>
      </c>
      <c r="P102" s="61">
        <v>0</v>
      </c>
      <c r="Q102" s="61">
        <v>77199</v>
      </c>
      <c r="R102" s="61">
        <v>0</v>
      </c>
      <c r="S102" s="61">
        <v>0</v>
      </c>
      <c r="T102" s="61">
        <v>0</v>
      </c>
    </row>
    <row r="103" spans="1:20" x14ac:dyDescent="0.25">
      <c r="A103" s="185"/>
      <c r="B103" s="6"/>
      <c r="C103" s="9"/>
      <c r="D103" s="9"/>
      <c r="E103" s="6"/>
      <c r="F103" s="9"/>
      <c r="G103" s="9"/>
      <c r="H103" s="7"/>
      <c r="I103" s="7"/>
      <c r="J103" s="7"/>
      <c r="K103" s="101" t="s">
        <v>180</v>
      </c>
      <c r="L103" s="102" t="s">
        <v>199</v>
      </c>
      <c r="M103" s="102" t="s">
        <v>233</v>
      </c>
      <c r="N103" s="102" t="s">
        <v>221</v>
      </c>
      <c r="O103" s="58">
        <v>118000</v>
      </c>
      <c r="P103" s="58">
        <v>118000</v>
      </c>
      <c r="Q103" s="58">
        <v>153000</v>
      </c>
      <c r="R103" s="58">
        <v>144000</v>
      </c>
      <c r="S103" s="58">
        <v>144000</v>
      </c>
      <c r="T103" s="58">
        <v>144000</v>
      </c>
    </row>
    <row r="104" spans="1:20" x14ac:dyDescent="0.25">
      <c r="A104" s="185"/>
      <c r="B104" s="6"/>
      <c r="C104" s="9"/>
      <c r="D104" s="9"/>
      <c r="E104" s="6"/>
      <c r="F104" s="9"/>
      <c r="G104" s="9"/>
      <c r="H104" s="7"/>
      <c r="I104" s="7"/>
      <c r="J104" s="7"/>
      <c r="K104" s="101" t="s">
        <v>180</v>
      </c>
      <c r="L104" s="102" t="s">
        <v>199</v>
      </c>
      <c r="M104" s="16" t="s">
        <v>200</v>
      </c>
      <c r="N104" s="102" t="s">
        <v>221</v>
      </c>
      <c r="O104" s="58">
        <v>300000</v>
      </c>
      <c r="P104" s="58">
        <v>300000</v>
      </c>
      <c r="Q104" s="58">
        <v>0</v>
      </c>
      <c r="R104" s="58">
        <v>0</v>
      </c>
      <c r="S104" s="58">
        <v>0</v>
      </c>
      <c r="T104" s="58">
        <v>0</v>
      </c>
    </row>
    <row r="105" spans="1:20" x14ac:dyDescent="0.25">
      <c r="A105" s="185"/>
      <c r="B105" s="6"/>
      <c r="C105" s="9"/>
      <c r="D105" s="9"/>
      <c r="E105" s="6"/>
      <c r="F105" s="9"/>
      <c r="G105" s="9"/>
      <c r="H105" s="7"/>
      <c r="I105" s="7"/>
      <c r="J105" s="7"/>
      <c r="K105" s="44" t="s">
        <v>180</v>
      </c>
      <c r="L105" s="19" t="s">
        <v>199</v>
      </c>
      <c r="M105" s="15" t="s">
        <v>201</v>
      </c>
      <c r="N105" s="19" t="s">
        <v>221</v>
      </c>
      <c r="O105" s="13">
        <v>1096500</v>
      </c>
      <c r="P105" s="13">
        <v>1096500</v>
      </c>
      <c r="Q105" s="13">
        <v>0</v>
      </c>
      <c r="R105" s="13">
        <v>0</v>
      </c>
      <c r="S105" s="13">
        <v>0</v>
      </c>
      <c r="T105" s="13">
        <v>0</v>
      </c>
    </row>
    <row r="106" spans="1:20" x14ac:dyDescent="0.25">
      <c r="A106" s="185"/>
      <c r="B106" s="6"/>
      <c r="C106" s="9"/>
      <c r="D106" s="9"/>
      <c r="E106" s="6"/>
      <c r="F106" s="9"/>
      <c r="G106" s="9"/>
      <c r="H106" s="7"/>
      <c r="I106" s="7"/>
      <c r="J106" s="7"/>
      <c r="K106" s="44" t="s">
        <v>180</v>
      </c>
      <c r="L106" s="19" t="s">
        <v>199</v>
      </c>
      <c r="M106" s="15" t="s">
        <v>202</v>
      </c>
      <c r="N106" s="19" t="s">
        <v>221</v>
      </c>
      <c r="O106" s="13">
        <v>250000</v>
      </c>
      <c r="P106" s="13">
        <v>250000</v>
      </c>
      <c r="Q106" s="13">
        <v>0</v>
      </c>
      <c r="R106" s="13">
        <v>0</v>
      </c>
      <c r="S106" s="13">
        <v>0</v>
      </c>
      <c r="T106" s="13">
        <v>0</v>
      </c>
    </row>
    <row r="107" spans="1:20" x14ac:dyDescent="0.25">
      <c r="A107" s="185"/>
      <c r="B107" s="6"/>
      <c r="C107" s="9"/>
      <c r="D107" s="9"/>
      <c r="E107" s="6"/>
      <c r="F107" s="9"/>
      <c r="G107" s="9"/>
      <c r="H107" s="7"/>
      <c r="I107" s="7"/>
      <c r="J107" s="7"/>
      <c r="K107" s="59" t="s">
        <v>180</v>
      </c>
      <c r="L107" s="60" t="s">
        <v>186</v>
      </c>
      <c r="M107" s="60" t="s">
        <v>228</v>
      </c>
      <c r="N107" s="60" t="s">
        <v>221</v>
      </c>
      <c r="O107" s="61">
        <v>1099257.8899999999</v>
      </c>
      <c r="P107" s="61">
        <v>1099257.8899999999</v>
      </c>
      <c r="Q107" s="61">
        <v>0</v>
      </c>
      <c r="R107" s="61">
        <v>0</v>
      </c>
      <c r="S107" s="61">
        <v>0</v>
      </c>
      <c r="T107" s="61">
        <v>0</v>
      </c>
    </row>
    <row r="108" spans="1:20" x14ac:dyDescent="0.25">
      <c r="A108" s="185"/>
      <c r="B108" s="6"/>
      <c r="C108" s="9"/>
      <c r="D108" s="9"/>
      <c r="E108" s="6"/>
      <c r="F108" s="9"/>
      <c r="G108" s="9"/>
      <c r="H108" s="7"/>
      <c r="I108" s="7"/>
      <c r="J108" s="7"/>
      <c r="K108" s="59" t="s">
        <v>180</v>
      </c>
      <c r="L108" s="60" t="s">
        <v>186</v>
      </c>
      <c r="M108" s="60" t="s">
        <v>229</v>
      </c>
      <c r="N108" s="60" t="s">
        <v>221</v>
      </c>
      <c r="O108" s="61">
        <v>160416.15</v>
      </c>
      <c r="P108" s="61">
        <v>160396.15</v>
      </c>
      <c r="Q108" s="61">
        <v>0</v>
      </c>
      <c r="R108" s="61">
        <v>0</v>
      </c>
      <c r="S108" s="61">
        <v>0</v>
      </c>
      <c r="T108" s="61">
        <v>0</v>
      </c>
    </row>
    <row r="109" spans="1:20" x14ac:dyDescent="0.25">
      <c r="A109" s="185"/>
      <c r="B109" s="6"/>
      <c r="C109" s="9"/>
      <c r="D109" s="9"/>
      <c r="E109" s="6"/>
      <c r="F109" s="9"/>
      <c r="G109" s="9"/>
      <c r="H109" s="7"/>
      <c r="I109" s="7"/>
      <c r="J109" s="7"/>
      <c r="K109" s="44" t="s">
        <v>180</v>
      </c>
      <c r="L109" s="19" t="s">
        <v>152</v>
      </c>
      <c r="M109" s="19" t="s">
        <v>356</v>
      </c>
      <c r="N109" s="19" t="s">
        <v>223</v>
      </c>
      <c r="O109" s="13">
        <v>117445259.83</v>
      </c>
      <c r="P109" s="13">
        <v>86367959.829999998</v>
      </c>
      <c r="Q109" s="13">
        <v>122636559.53</v>
      </c>
      <c r="R109" s="13">
        <v>77912205.019999996</v>
      </c>
      <c r="S109" s="13">
        <v>0</v>
      </c>
      <c r="T109" s="114">
        <v>0</v>
      </c>
    </row>
    <row r="110" spans="1:20" ht="49.5" x14ac:dyDescent="0.25">
      <c r="A110" s="185" t="s">
        <v>24</v>
      </c>
      <c r="B110" s="6" t="s">
        <v>57</v>
      </c>
      <c r="C110" s="9" t="s">
        <v>95</v>
      </c>
      <c r="D110" s="9" t="s">
        <v>61</v>
      </c>
      <c r="E110" s="6" t="s">
        <v>99</v>
      </c>
      <c r="F110" s="9" t="s">
        <v>100</v>
      </c>
      <c r="G110" s="9" t="s">
        <v>101</v>
      </c>
      <c r="H110" s="7" t="s">
        <v>395</v>
      </c>
      <c r="I110" s="7" t="s">
        <v>422</v>
      </c>
      <c r="J110" s="7" t="s">
        <v>463</v>
      </c>
      <c r="K110" s="44"/>
      <c r="L110" s="19"/>
      <c r="M110" s="19"/>
      <c r="N110" s="19"/>
      <c r="O110" s="112">
        <f>SUM(O111:O118)</f>
        <v>60660307.25</v>
      </c>
      <c r="P110" s="112">
        <f t="shared" ref="P110:T110" si="9">SUM(P111:P118)</f>
        <v>60660307.25</v>
      </c>
      <c r="Q110" s="112">
        <f t="shared" si="9"/>
        <v>61410400</v>
      </c>
      <c r="R110" s="112">
        <f t="shared" si="9"/>
        <v>65293290.979999997</v>
      </c>
      <c r="S110" s="112">
        <f t="shared" si="9"/>
        <v>71843906.980000004</v>
      </c>
      <c r="T110" s="112">
        <f t="shared" si="9"/>
        <v>75109322.980000004</v>
      </c>
    </row>
    <row r="111" spans="1:20" ht="66" x14ac:dyDescent="0.25">
      <c r="A111" s="185"/>
      <c r="B111" s="6" t="s">
        <v>96</v>
      </c>
      <c r="C111" s="9" t="s">
        <v>97</v>
      </c>
      <c r="D111" s="9" t="s">
        <v>98</v>
      </c>
      <c r="E111" s="8" t="s">
        <v>86</v>
      </c>
      <c r="F111" s="10" t="s">
        <v>58</v>
      </c>
      <c r="G111" s="10" t="s">
        <v>87</v>
      </c>
      <c r="H111" s="7" t="s">
        <v>468</v>
      </c>
      <c r="I111" s="7" t="s">
        <v>248</v>
      </c>
      <c r="J111" s="7" t="s">
        <v>407</v>
      </c>
      <c r="K111" s="44" t="s">
        <v>238</v>
      </c>
      <c r="L111" s="19" t="s">
        <v>152</v>
      </c>
      <c r="M111" s="19" t="s">
        <v>245</v>
      </c>
      <c r="N111" s="19" t="s">
        <v>221</v>
      </c>
      <c r="O111" s="13">
        <v>58364200</v>
      </c>
      <c r="P111" s="13">
        <v>58364200</v>
      </c>
      <c r="Q111" s="13">
        <v>59554396.5</v>
      </c>
      <c r="R111" s="13">
        <v>64319190.979999997</v>
      </c>
      <c r="S111" s="13">
        <v>70869806.980000004</v>
      </c>
      <c r="T111" s="114">
        <v>74135222.980000004</v>
      </c>
    </row>
    <row r="112" spans="1:20" ht="66" x14ac:dyDescent="0.25">
      <c r="A112" s="185"/>
      <c r="B112" s="6"/>
      <c r="C112" s="9"/>
      <c r="D112" s="9"/>
      <c r="E112" s="8"/>
      <c r="F112" s="10"/>
      <c r="G112" s="10"/>
      <c r="H112" s="38" t="s">
        <v>235</v>
      </c>
      <c r="I112" s="7" t="s">
        <v>236</v>
      </c>
      <c r="J112" s="39" t="s">
        <v>483</v>
      </c>
      <c r="K112" s="44" t="s">
        <v>238</v>
      </c>
      <c r="L112" s="19" t="s">
        <v>152</v>
      </c>
      <c r="M112" s="19" t="s">
        <v>246</v>
      </c>
      <c r="N112" s="19" t="s">
        <v>221</v>
      </c>
      <c r="O112" s="13">
        <v>983507.25</v>
      </c>
      <c r="P112" s="13">
        <v>983507.25</v>
      </c>
      <c r="Q112" s="13">
        <v>950000</v>
      </c>
      <c r="R112" s="13">
        <v>950000</v>
      </c>
      <c r="S112" s="13">
        <v>950000</v>
      </c>
      <c r="T112" s="114">
        <v>950000</v>
      </c>
    </row>
    <row r="113" spans="1:20" ht="49.5" x14ac:dyDescent="0.25">
      <c r="A113" s="185"/>
      <c r="B113" s="6"/>
      <c r="C113" s="9"/>
      <c r="D113" s="9"/>
      <c r="E113" s="8"/>
      <c r="F113" s="10"/>
      <c r="G113" s="10"/>
      <c r="H113" s="139" t="s">
        <v>473</v>
      </c>
      <c r="I113" s="139" t="s">
        <v>248</v>
      </c>
      <c r="J113" s="7" t="s">
        <v>407</v>
      </c>
      <c r="K113" s="44" t="s">
        <v>238</v>
      </c>
      <c r="L113" s="19" t="s">
        <v>152</v>
      </c>
      <c r="M113" s="19" t="s">
        <v>239</v>
      </c>
      <c r="N113" s="19" t="s">
        <v>221</v>
      </c>
      <c r="O113" s="13">
        <v>0</v>
      </c>
      <c r="P113" s="13">
        <v>0</v>
      </c>
      <c r="Q113" s="13">
        <v>23300</v>
      </c>
      <c r="R113" s="13">
        <v>24100</v>
      </c>
      <c r="S113" s="13">
        <v>24100</v>
      </c>
      <c r="T113" s="114">
        <v>24100</v>
      </c>
    </row>
    <row r="114" spans="1:20" ht="41.25" x14ac:dyDescent="0.25">
      <c r="A114" s="185"/>
      <c r="B114" s="6"/>
      <c r="C114" s="9"/>
      <c r="D114" s="9"/>
      <c r="E114" s="8"/>
      <c r="F114" s="10"/>
      <c r="G114" s="10"/>
      <c r="H114" s="139" t="s">
        <v>250</v>
      </c>
      <c r="I114" s="139" t="s">
        <v>251</v>
      </c>
      <c r="J114" s="7" t="s">
        <v>407</v>
      </c>
      <c r="K114" s="44" t="s">
        <v>238</v>
      </c>
      <c r="L114" s="19" t="s">
        <v>152</v>
      </c>
      <c r="M114" s="19" t="s">
        <v>240</v>
      </c>
      <c r="N114" s="19" t="s">
        <v>221</v>
      </c>
      <c r="O114" s="13">
        <v>0</v>
      </c>
      <c r="P114" s="13">
        <v>0</v>
      </c>
      <c r="Q114" s="13">
        <v>582703.5</v>
      </c>
      <c r="R114" s="13">
        <v>0</v>
      </c>
      <c r="S114" s="13">
        <v>0</v>
      </c>
      <c r="T114" s="13">
        <v>0</v>
      </c>
    </row>
    <row r="115" spans="1:20" ht="41.25" x14ac:dyDescent="0.25">
      <c r="A115" s="185"/>
      <c r="B115" s="6"/>
      <c r="C115" s="9"/>
      <c r="D115" s="9"/>
      <c r="E115" s="8"/>
      <c r="F115" s="10"/>
      <c r="G115" s="10"/>
      <c r="H115" s="7" t="s">
        <v>421</v>
      </c>
      <c r="I115" s="7" t="s">
        <v>58</v>
      </c>
      <c r="J115" s="7" t="s">
        <v>471</v>
      </c>
      <c r="K115" s="44" t="s">
        <v>238</v>
      </c>
      <c r="L115" s="19" t="s">
        <v>152</v>
      </c>
      <c r="M115" s="19" t="s">
        <v>241</v>
      </c>
      <c r="N115" s="19" t="s">
        <v>221</v>
      </c>
      <c r="O115" s="13">
        <v>0</v>
      </c>
      <c r="P115" s="13">
        <v>0</v>
      </c>
      <c r="Q115" s="13">
        <v>300000</v>
      </c>
      <c r="R115" s="13">
        <v>0</v>
      </c>
      <c r="S115" s="13">
        <v>0</v>
      </c>
      <c r="T115" s="13">
        <v>0</v>
      </c>
    </row>
    <row r="116" spans="1:20" x14ac:dyDescent="0.25">
      <c r="A116" s="185"/>
      <c r="B116" s="6"/>
      <c r="C116" s="9"/>
      <c r="D116" s="9"/>
      <c r="E116" s="8"/>
      <c r="F116" s="10"/>
      <c r="G116" s="10"/>
      <c r="H116" s="7"/>
      <c r="I116" s="7"/>
      <c r="J116" s="7"/>
      <c r="K116" s="66" t="s">
        <v>238</v>
      </c>
      <c r="L116" s="67" t="s">
        <v>152</v>
      </c>
      <c r="M116" s="67" t="s">
        <v>242</v>
      </c>
      <c r="N116" s="67" t="s">
        <v>221</v>
      </c>
      <c r="O116" s="68">
        <v>262600</v>
      </c>
      <c r="P116" s="68">
        <v>262600</v>
      </c>
      <c r="Q116" s="68">
        <v>0</v>
      </c>
      <c r="R116" s="13">
        <v>0</v>
      </c>
      <c r="S116" s="13">
        <v>0</v>
      </c>
      <c r="T116" s="13">
        <v>0</v>
      </c>
    </row>
    <row r="117" spans="1:20" x14ac:dyDescent="0.25">
      <c r="A117" s="185"/>
      <c r="B117" s="6"/>
      <c r="C117" s="9"/>
      <c r="D117" s="9"/>
      <c r="E117" s="8"/>
      <c r="F117" s="10"/>
      <c r="G117" s="10"/>
      <c r="H117" s="7"/>
      <c r="I117" s="7"/>
      <c r="J117" s="7"/>
      <c r="K117" s="66" t="s">
        <v>238</v>
      </c>
      <c r="L117" s="67" t="s">
        <v>153</v>
      </c>
      <c r="M117" s="67" t="s">
        <v>201</v>
      </c>
      <c r="N117" s="67" t="s">
        <v>221</v>
      </c>
      <c r="O117" s="68">
        <v>750000</v>
      </c>
      <c r="P117" s="68">
        <v>750000</v>
      </c>
      <c r="Q117" s="68">
        <v>0</v>
      </c>
      <c r="R117" s="13">
        <v>0</v>
      </c>
      <c r="S117" s="13">
        <v>0</v>
      </c>
      <c r="T117" s="13">
        <v>0</v>
      </c>
    </row>
    <row r="118" spans="1:20" x14ac:dyDescent="0.25">
      <c r="A118" s="185"/>
      <c r="B118" s="6"/>
      <c r="C118" s="9"/>
      <c r="D118" s="9"/>
      <c r="E118" s="8"/>
      <c r="F118" s="10"/>
      <c r="G118" s="10"/>
      <c r="H118" s="7"/>
      <c r="I118" s="7"/>
      <c r="J118" s="7"/>
      <c r="K118" s="66" t="s">
        <v>243</v>
      </c>
      <c r="L118" s="67" t="s">
        <v>244</v>
      </c>
      <c r="M118" s="67" t="s">
        <v>247</v>
      </c>
      <c r="N118" s="67" t="s">
        <v>221</v>
      </c>
      <c r="O118" s="68">
        <v>300000</v>
      </c>
      <c r="P118" s="68">
        <v>300000</v>
      </c>
      <c r="Q118" s="68">
        <v>0</v>
      </c>
      <c r="R118" s="13">
        <v>0</v>
      </c>
      <c r="S118" s="13">
        <v>0</v>
      </c>
      <c r="T118" s="13">
        <v>0</v>
      </c>
    </row>
    <row r="119" spans="1:20" ht="49.5" x14ac:dyDescent="0.25">
      <c r="A119" s="185" t="s">
        <v>25</v>
      </c>
      <c r="B119" s="6" t="s">
        <v>57</v>
      </c>
      <c r="C119" s="9" t="s">
        <v>102</v>
      </c>
      <c r="D119" s="9" t="s">
        <v>61</v>
      </c>
      <c r="E119" s="6" t="s">
        <v>103</v>
      </c>
      <c r="F119" s="9" t="s">
        <v>58</v>
      </c>
      <c r="G119" s="9" t="s">
        <v>104</v>
      </c>
      <c r="H119" s="7" t="s">
        <v>395</v>
      </c>
      <c r="I119" s="7" t="s">
        <v>425</v>
      </c>
      <c r="J119" s="7" t="s">
        <v>463</v>
      </c>
      <c r="K119" s="44"/>
      <c r="L119" s="19"/>
      <c r="M119" s="19"/>
      <c r="N119" s="19"/>
      <c r="O119" s="112">
        <f>SUM(O120:O141)</f>
        <v>117958178.23</v>
      </c>
      <c r="P119" s="112">
        <f t="shared" ref="P119:T119" si="10">SUM(P120:P141)</f>
        <v>117812895.90000001</v>
      </c>
      <c r="Q119" s="112">
        <f t="shared" si="10"/>
        <v>117035081.42</v>
      </c>
      <c r="R119" s="112">
        <f t="shared" si="10"/>
        <v>122860472.31</v>
      </c>
      <c r="S119" s="112">
        <f t="shared" si="10"/>
        <v>134618883.31</v>
      </c>
      <c r="T119" s="112">
        <f t="shared" si="10"/>
        <v>138827195.31</v>
      </c>
    </row>
    <row r="120" spans="1:20" ht="66" x14ac:dyDescent="0.25">
      <c r="A120" s="185"/>
      <c r="B120" s="8" t="s">
        <v>84</v>
      </c>
      <c r="C120" s="10" t="s">
        <v>58</v>
      </c>
      <c r="D120" s="10" t="s">
        <v>85</v>
      </c>
      <c r="E120" s="8" t="s">
        <v>86</v>
      </c>
      <c r="F120" s="10" t="s">
        <v>58</v>
      </c>
      <c r="G120" s="10" t="s">
        <v>87</v>
      </c>
      <c r="H120" s="39" t="s">
        <v>468</v>
      </c>
      <c r="I120" s="39" t="s">
        <v>265</v>
      </c>
      <c r="J120" s="7" t="s">
        <v>407</v>
      </c>
      <c r="K120" s="101" t="s">
        <v>238</v>
      </c>
      <c r="L120" s="102" t="s">
        <v>152</v>
      </c>
      <c r="M120" s="102" t="s">
        <v>257</v>
      </c>
      <c r="N120" s="102" t="s">
        <v>221</v>
      </c>
      <c r="O120" s="58">
        <v>96552782.060000002</v>
      </c>
      <c r="P120" s="64">
        <v>96552782.060000002</v>
      </c>
      <c r="Q120" s="58">
        <v>96177958.489999995</v>
      </c>
      <c r="R120" s="58">
        <v>102741901</v>
      </c>
      <c r="S120" s="58">
        <v>113647412</v>
      </c>
      <c r="T120" s="156">
        <v>117855724</v>
      </c>
    </row>
    <row r="121" spans="1:20" ht="66" x14ac:dyDescent="0.25">
      <c r="A121" s="185"/>
      <c r="B121" s="6" t="s">
        <v>105</v>
      </c>
      <c r="C121" s="9" t="s">
        <v>93</v>
      </c>
      <c r="D121" s="9" t="s">
        <v>106</v>
      </c>
      <c r="E121" s="8"/>
      <c r="F121" s="10"/>
      <c r="G121" s="10"/>
      <c r="H121" s="140" t="s">
        <v>235</v>
      </c>
      <c r="I121" s="39" t="s">
        <v>236</v>
      </c>
      <c r="J121" s="39" t="s">
        <v>483</v>
      </c>
      <c r="K121" s="101" t="s">
        <v>238</v>
      </c>
      <c r="L121" s="102" t="s">
        <v>152</v>
      </c>
      <c r="M121" s="102" t="s">
        <v>258</v>
      </c>
      <c r="N121" s="102" t="s">
        <v>221</v>
      </c>
      <c r="O121" s="58">
        <v>1366784.84</v>
      </c>
      <c r="P121" s="64">
        <v>1328380.83</v>
      </c>
      <c r="Q121" s="58">
        <v>1090000</v>
      </c>
      <c r="R121" s="58">
        <v>1400000</v>
      </c>
      <c r="S121" s="58">
        <v>1400000</v>
      </c>
      <c r="T121" s="156">
        <v>1400000</v>
      </c>
    </row>
    <row r="122" spans="1:20" ht="49.5" x14ac:dyDescent="0.25">
      <c r="A122" s="185"/>
      <c r="B122" s="6"/>
      <c r="C122" s="9"/>
      <c r="D122" s="9"/>
      <c r="E122" s="8"/>
      <c r="F122" s="10"/>
      <c r="G122" s="10"/>
      <c r="H122" s="139" t="s">
        <v>249</v>
      </c>
      <c r="I122" s="139" t="s">
        <v>248</v>
      </c>
      <c r="J122" s="7" t="s">
        <v>407</v>
      </c>
      <c r="K122" s="101" t="s">
        <v>238</v>
      </c>
      <c r="L122" s="102" t="s">
        <v>152</v>
      </c>
      <c r="M122" s="102" t="s">
        <v>252</v>
      </c>
      <c r="N122" s="102" t="s">
        <v>221</v>
      </c>
      <c r="O122" s="58">
        <v>0</v>
      </c>
      <c r="P122" s="64">
        <v>0</v>
      </c>
      <c r="Q122" s="58">
        <v>41000</v>
      </c>
      <c r="R122" s="58">
        <v>42700</v>
      </c>
      <c r="S122" s="58">
        <v>42700</v>
      </c>
      <c r="T122" s="156">
        <v>42700</v>
      </c>
    </row>
    <row r="123" spans="1:20" ht="49.5" x14ac:dyDescent="0.25">
      <c r="A123" s="185"/>
      <c r="B123" s="6"/>
      <c r="C123" s="9"/>
      <c r="D123" s="9"/>
      <c r="E123" s="8"/>
      <c r="F123" s="10"/>
      <c r="G123" s="10"/>
      <c r="H123" s="139" t="s">
        <v>423</v>
      </c>
      <c r="I123" s="139" t="s">
        <v>237</v>
      </c>
      <c r="J123" s="139" t="s">
        <v>474</v>
      </c>
      <c r="K123" s="101" t="s">
        <v>238</v>
      </c>
      <c r="L123" s="102" t="s">
        <v>152</v>
      </c>
      <c r="M123" s="102" t="s">
        <v>253</v>
      </c>
      <c r="N123" s="102" t="s">
        <v>221</v>
      </c>
      <c r="O123" s="58">
        <v>0</v>
      </c>
      <c r="P123" s="64">
        <v>0</v>
      </c>
      <c r="Q123" s="58">
        <v>744241.51</v>
      </c>
      <c r="R123" s="58">
        <v>0</v>
      </c>
      <c r="S123" s="58">
        <v>0</v>
      </c>
      <c r="T123" s="156">
        <v>0</v>
      </c>
    </row>
    <row r="124" spans="1:20" ht="41.25" x14ac:dyDescent="0.25">
      <c r="A124" s="185"/>
      <c r="B124" s="6"/>
      <c r="C124" s="9"/>
      <c r="D124" s="9"/>
      <c r="E124" s="8"/>
      <c r="F124" s="10"/>
      <c r="G124" s="10"/>
      <c r="H124" s="139" t="s">
        <v>250</v>
      </c>
      <c r="I124" s="139" t="s">
        <v>459</v>
      </c>
      <c r="J124" s="7" t="s">
        <v>407</v>
      </c>
      <c r="K124" s="101" t="s">
        <v>238</v>
      </c>
      <c r="L124" s="102" t="s">
        <v>152</v>
      </c>
      <c r="M124" s="102" t="s">
        <v>254</v>
      </c>
      <c r="N124" s="102" t="s">
        <v>221</v>
      </c>
      <c r="O124" s="58">
        <v>0</v>
      </c>
      <c r="P124" s="64">
        <v>0</v>
      </c>
      <c r="Q124" s="58">
        <v>90000</v>
      </c>
      <c r="R124" s="58">
        <v>0</v>
      </c>
      <c r="S124" s="58">
        <v>0</v>
      </c>
      <c r="T124" s="156">
        <v>0</v>
      </c>
    </row>
    <row r="125" spans="1:20" ht="49.5" x14ac:dyDescent="0.25">
      <c r="A125" s="185"/>
      <c r="B125" s="6"/>
      <c r="C125" s="9"/>
      <c r="D125" s="9"/>
      <c r="E125" s="8"/>
      <c r="F125" s="10"/>
      <c r="G125" s="10"/>
      <c r="H125" s="7" t="s">
        <v>266</v>
      </c>
      <c r="I125" s="7" t="s">
        <v>267</v>
      </c>
      <c r="J125" s="7" t="s">
        <v>461</v>
      </c>
      <c r="K125" s="59" t="s">
        <v>238</v>
      </c>
      <c r="L125" s="60" t="s">
        <v>152</v>
      </c>
      <c r="M125" s="60" t="s">
        <v>255</v>
      </c>
      <c r="N125" s="60" t="s">
        <v>221</v>
      </c>
      <c r="O125" s="61">
        <v>1254351.99</v>
      </c>
      <c r="P125" s="68">
        <v>1254351.99</v>
      </c>
      <c r="Q125" s="61">
        <v>0</v>
      </c>
      <c r="R125" s="58">
        <v>0</v>
      </c>
      <c r="S125" s="58">
        <v>0</v>
      </c>
      <c r="T125" s="156">
        <v>0</v>
      </c>
    </row>
    <row r="126" spans="1:20" ht="41.25" x14ac:dyDescent="0.25">
      <c r="A126" s="185"/>
      <c r="B126" s="6"/>
      <c r="C126" s="9"/>
      <c r="D126" s="9"/>
      <c r="E126" s="8"/>
      <c r="F126" s="10"/>
      <c r="G126" s="10"/>
      <c r="H126" s="7" t="s">
        <v>421</v>
      </c>
      <c r="I126" s="7" t="s">
        <v>58</v>
      </c>
      <c r="J126" s="7" t="s">
        <v>471</v>
      </c>
      <c r="K126" s="59" t="s">
        <v>238</v>
      </c>
      <c r="L126" s="60" t="s">
        <v>152</v>
      </c>
      <c r="M126" s="60" t="s">
        <v>229</v>
      </c>
      <c r="N126" s="60" t="s">
        <v>221</v>
      </c>
      <c r="O126" s="61">
        <v>22637.34</v>
      </c>
      <c r="P126" s="68">
        <v>22637.34</v>
      </c>
      <c r="Q126" s="61">
        <v>0</v>
      </c>
      <c r="R126" s="58">
        <v>0</v>
      </c>
      <c r="S126" s="58">
        <v>0</v>
      </c>
      <c r="T126" s="156">
        <v>0</v>
      </c>
    </row>
    <row r="127" spans="1:20" x14ac:dyDescent="0.25">
      <c r="A127" s="185"/>
      <c r="B127" s="6"/>
      <c r="C127" s="9"/>
      <c r="D127" s="9"/>
      <c r="E127" s="8"/>
      <c r="F127" s="10"/>
      <c r="G127" s="10"/>
      <c r="H127" s="7"/>
      <c r="I127" s="7"/>
      <c r="J127" s="7"/>
      <c r="K127" s="59" t="s">
        <v>238</v>
      </c>
      <c r="L127" s="60" t="s">
        <v>153</v>
      </c>
      <c r="M127" s="60" t="s">
        <v>201</v>
      </c>
      <c r="N127" s="60" t="s">
        <v>221</v>
      </c>
      <c r="O127" s="61">
        <f>450704+87500</f>
        <v>538204</v>
      </c>
      <c r="P127" s="68">
        <f>424210+44634.43</f>
        <v>468844.43</v>
      </c>
      <c r="Q127" s="61">
        <f>0+84000</f>
        <v>84000</v>
      </c>
      <c r="R127" s="58">
        <v>0</v>
      </c>
      <c r="S127" s="58">
        <v>0</v>
      </c>
      <c r="T127" s="156">
        <v>0</v>
      </c>
    </row>
    <row r="128" spans="1:20" x14ac:dyDescent="0.25">
      <c r="A128" s="185"/>
      <c r="B128" s="6"/>
      <c r="C128" s="9"/>
      <c r="D128" s="9"/>
      <c r="E128" s="8"/>
      <c r="F128" s="10"/>
      <c r="G128" s="10"/>
      <c r="H128" s="7"/>
      <c r="I128" s="7"/>
      <c r="J128" s="7"/>
      <c r="K128" s="59" t="s">
        <v>238</v>
      </c>
      <c r="L128" s="60" t="s">
        <v>153</v>
      </c>
      <c r="M128" s="60" t="s">
        <v>259</v>
      </c>
      <c r="N128" s="60" t="s">
        <v>221</v>
      </c>
      <c r="O128" s="61">
        <v>51000</v>
      </c>
      <c r="P128" s="68">
        <v>51000</v>
      </c>
      <c r="Q128" s="61">
        <v>45000</v>
      </c>
      <c r="R128" s="61">
        <v>72000</v>
      </c>
      <c r="S128" s="61">
        <v>72000</v>
      </c>
      <c r="T128" s="157">
        <v>72000</v>
      </c>
    </row>
    <row r="129" spans="1:21" x14ac:dyDescent="0.25">
      <c r="A129" s="185"/>
      <c r="B129" s="6"/>
      <c r="C129" s="9"/>
      <c r="D129" s="9"/>
      <c r="E129" s="8"/>
      <c r="F129" s="10"/>
      <c r="G129" s="10"/>
      <c r="H129" s="7"/>
      <c r="I129" s="7"/>
      <c r="J129" s="7"/>
      <c r="K129" s="66" t="s">
        <v>243</v>
      </c>
      <c r="L129" s="67" t="s">
        <v>244</v>
      </c>
      <c r="M129" s="67" t="s">
        <v>247</v>
      </c>
      <c r="N129" s="67" t="s">
        <v>221</v>
      </c>
      <c r="O129" s="68">
        <v>300000</v>
      </c>
      <c r="P129" s="68">
        <v>300000</v>
      </c>
      <c r="Q129" s="68">
        <v>200000</v>
      </c>
      <c r="R129" s="68">
        <v>310000</v>
      </c>
      <c r="S129" s="68">
        <v>310000</v>
      </c>
      <c r="T129" s="69">
        <v>310000</v>
      </c>
    </row>
    <row r="130" spans="1:21" x14ac:dyDescent="0.25">
      <c r="A130" s="185"/>
      <c r="B130" s="6"/>
      <c r="C130" s="9"/>
      <c r="D130" s="9"/>
      <c r="E130" s="8"/>
      <c r="F130" s="10"/>
      <c r="G130" s="10"/>
      <c r="H130" s="7"/>
      <c r="I130" s="7"/>
      <c r="J130" s="7"/>
      <c r="K130" s="62" t="s">
        <v>260</v>
      </c>
      <c r="L130" s="63" t="s">
        <v>153</v>
      </c>
      <c r="M130" s="63" t="s">
        <v>262</v>
      </c>
      <c r="N130" s="63" t="s">
        <v>221</v>
      </c>
      <c r="O130" s="64">
        <v>14364922.73</v>
      </c>
      <c r="P130" s="64">
        <v>14364922.73</v>
      </c>
      <c r="Q130" s="64">
        <v>14596300</v>
      </c>
      <c r="R130" s="64">
        <v>14597500</v>
      </c>
      <c r="S130" s="64">
        <v>15450400</v>
      </c>
      <c r="T130" s="65">
        <v>15450400</v>
      </c>
    </row>
    <row r="131" spans="1:21" x14ac:dyDescent="0.25">
      <c r="A131" s="185"/>
      <c r="B131" s="6"/>
      <c r="C131" s="9"/>
      <c r="D131" s="9"/>
      <c r="E131" s="8"/>
      <c r="F131" s="10"/>
      <c r="G131" s="10"/>
      <c r="H131" s="7"/>
      <c r="I131" s="7"/>
      <c r="J131" s="7"/>
      <c r="K131" s="62" t="s">
        <v>238</v>
      </c>
      <c r="L131" s="63" t="s">
        <v>153</v>
      </c>
      <c r="M131" s="63" t="s">
        <v>263</v>
      </c>
      <c r="N131" s="63" t="s">
        <v>221</v>
      </c>
      <c r="O131" s="64">
        <v>80477.27</v>
      </c>
      <c r="P131" s="64">
        <v>80477.27</v>
      </c>
      <c r="Q131" s="64">
        <v>242500</v>
      </c>
      <c r="R131" s="64">
        <v>250000</v>
      </c>
      <c r="S131" s="64">
        <v>250000</v>
      </c>
      <c r="T131" s="65">
        <v>250000</v>
      </c>
    </row>
    <row r="132" spans="1:21" x14ac:dyDescent="0.25">
      <c r="A132" s="185"/>
      <c r="B132" s="6"/>
      <c r="C132" s="9"/>
      <c r="D132" s="9"/>
      <c r="E132" s="8"/>
      <c r="F132" s="10"/>
      <c r="G132" s="10"/>
      <c r="H132" s="7"/>
      <c r="I132" s="7"/>
      <c r="J132" s="7"/>
      <c r="K132" s="62" t="s">
        <v>238</v>
      </c>
      <c r="L132" s="63" t="s">
        <v>153</v>
      </c>
      <c r="M132" s="63" t="s">
        <v>261</v>
      </c>
      <c r="N132" s="63" t="s">
        <v>221</v>
      </c>
      <c r="O132" s="64">
        <v>0</v>
      </c>
      <c r="P132" s="64">
        <v>0</v>
      </c>
      <c r="Q132" s="64">
        <v>200000</v>
      </c>
      <c r="R132" s="64">
        <v>0</v>
      </c>
      <c r="S132" s="64">
        <v>0</v>
      </c>
      <c r="T132" s="65">
        <v>0</v>
      </c>
    </row>
    <row r="133" spans="1:21" x14ac:dyDescent="0.25">
      <c r="A133" s="185"/>
      <c r="B133" s="6"/>
      <c r="C133" s="9"/>
      <c r="D133" s="9"/>
      <c r="E133" s="8"/>
      <c r="F133" s="10"/>
      <c r="G133" s="10"/>
      <c r="H133" s="7"/>
      <c r="I133" s="7"/>
      <c r="J133" s="7"/>
      <c r="K133" s="62" t="s">
        <v>152</v>
      </c>
      <c r="L133" s="63" t="s">
        <v>153</v>
      </c>
      <c r="M133" s="63" t="s">
        <v>217</v>
      </c>
      <c r="N133" s="63" t="s">
        <v>155</v>
      </c>
      <c r="O133" s="64">
        <f>2516743+696010</f>
        <v>3212753</v>
      </c>
      <c r="P133" s="64">
        <f>2516743+686488.77</f>
        <v>3203231.77</v>
      </c>
      <c r="Q133" s="64">
        <f>2516742.8+716518.2</f>
        <v>3233261</v>
      </c>
      <c r="R133" s="64">
        <f>2516742.8+727628.51</f>
        <v>3244371.3099999996</v>
      </c>
      <c r="S133" s="64">
        <f>2516742.8+727628.51</f>
        <v>3244371.3099999996</v>
      </c>
      <c r="T133" s="65">
        <f>2516742.8+727628.51</f>
        <v>3244371.3099999996</v>
      </c>
    </row>
    <row r="134" spans="1:21" x14ac:dyDescent="0.25">
      <c r="A134" s="185"/>
      <c r="B134" s="6"/>
      <c r="C134" s="9"/>
      <c r="D134" s="9"/>
      <c r="E134" s="8"/>
      <c r="F134" s="10"/>
      <c r="G134" s="10"/>
      <c r="H134" s="7"/>
      <c r="I134" s="7"/>
      <c r="J134" s="7"/>
      <c r="K134" s="62" t="s">
        <v>152</v>
      </c>
      <c r="L134" s="63" t="s">
        <v>160</v>
      </c>
      <c r="M134" s="63" t="s">
        <v>177</v>
      </c>
      <c r="N134" s="63" t="s">
        <v>155</v>
      </c>
      <c r="O134" s="64">
        <v>0</v>
      </c>
      <c r="P134" s="64">
        <v>0</v>
      </c>
      <c r="Q134" s="64">
        <v>73820.42</v>
      </c>
      <c r="R134" s="64">
        <v>0</v>
      </c>
      <c r="S134" s="64">
        <v>0</v>
      </c>
      <c r="T134" s="65">
        <v>0</v>
      </c>
    </row>
    <row r="135" spans="1:21" x14ac:dyDescent="0.25">
      <c r="A135" s="185"/>
      <c r="B135" s="6"/>
      <c r="C135" s="9"/>
      <c r="D135" s="9"/>
      <c r="E135" s="8"/>
      <c r="F135" s="10"/>
      <c r="G135" s="10"/>
      <c r="H135" s="7"/>
      <c r="I135" s="7"/>
      <c r="J135" s="7"/>
      <c r="K135" s="62" t="s">
        <v>152</v>
      </c>
      <c r="L135" s="63" t="s">
        <v>160</v>
      </c>
      <c r="M135" s="63" t="s">
        <v>161</v>
      </c>
      <c r="N135" s="63" t="s">
        <v>162</v>
      </c>
      <c r="O135" s="64">
        <v>81000</v>
      </c>
      <c r="P135" s="64">
        <v>81000</v>
      </c>
      <c r="Q135" s="64">
        <v>56000</v>
      </c>
      <c r="R135" s="64">
        <v>56000</v>
      </c>
      <c r="S135" s="64">
        <v>56000</v>
      </c>
      <c r="T135" s="65">
        <v>56000</v>
      </c>
      <c r="U135" s="63"/>
    </row>
    <row r="136" spans="1:21" x14ac:dyDescent="0.25">
      <c r="A136" s="185"/>
      <c r="B136" s="6"/>
      <c r="C136" s="9"/>
      <c r="D136" s="9"/>
      <c r="E136" s="8"/>
      <c r="F136" s="10"/>
      <c r="G136" s="10"/>
      <c r="H136" s="7"/>
      <c r="I136" s="7"/>
      <c r="J136" s="7"/>
      <c r="K136" s="62" t="s">
        <v>152</v>
      </c>
      <c r="L136" s="63" t="s">
        <v>153</v>
      </c>
      <c r="M136" s="63" t="s">
        <v>552</v>
      </c>
      <c r="N136" s="63" t="s">
        <v>155</v>
      </c>
      <c r="O136" s="64">
        <v>35000</v>
      </c>
      <c r="P136" s="64">
        <v>8000</v>
      </c>
      <c r="Q136" s="64">
        <v>16500</v>
      </c>
      <c r="R136" s="64">
        <v>16000</v>
      </c>
      <c r="S136" s="64">
        <v>16000</v>
      </c>
      <c r="T136" s="65">
        <v>16000</v>
      </c>
      <c r="U136" s="63" t="s">
        <v>166</v>
      </c>
    </row>
    <row r="137" spans="1:21" x14ac:dyDescent="0.25">
      <c r="A137" s="185"/>
      <c r="B137" s="6"/>
      <c r="C137" s="9"/>
      <c r="D137" s="9"/>
      <c r="E137" s="8"/>
      <c r="F137" s="10"/>
      <c r="G137" s="10"/>
      <c r="H137" s="7"/>
      <c r="I137" s="7"/>
      <c r="J137" s="7"/>
      <c r="K137" s="62" t="s">
        <v>152</v>
      </c>
      <c r="L137" s="63" t="s">
        <v>153</v>
      </c>
      <c r="M137" s="63" t="s">
        <v>552</v>
      </c>
      <c r="N137" s="63" t="s">
        <v>162</v>
      </c>
      <c r="O137" s="64">
        <v>32450</v>
      </c>
      <c r="P137" s="64">
        <v>32450</v>
      </c>
      <c r="Q137" s="64">
        <v>18500</v>
      </c>
      <c r="R137" s="64">
        <v>16000</v>
      </c>
      <c r="S137" s="64">
        <v>16000</v>
      </c>
      <c r="T137" s="65">
        <v>16000</v>
      </c>
      <c r="U137" s="63" t="s">
        <v>264</v>
      </c>
    </row>
    <row r="138" spans="1:21" x14ac:dyDescent="0.25">
      <c r="A138" s="185"/>
      <c r="B138" s="6"/>
      <c r="C138" s="9"/>
      <c r="D138" s="9"/>
      <c r="E138" s="8"/>
      <c r="F138" s="10"/>
      <c r="G138" s="10"/>
      <c r="H138" s="7"/>
      <c r="I138" s="7"/>
      <c r="J138" s="7"/>
      <c r="K138" s="62" t="s">
        <v>152</v>
      </c>
      <c r="L138" s="63" t="s">
        <v>153</v>
      </c>
      <c r="M138" s="63" t="s">
        <v>552</v>
      </c>
      <c r="N138" s="63" t="s">
        <v>155</v>
      </c>
      <c r="O138" s="64">
        <v>0</v>
      </c>
      <c r="P138" s="64">
        <v>0</v>
      </c>
      <c r="Q138" s="64">
        <v>21200</v>
      </c>
      <c r="R138" s="64">
        <v>19200</v>
      </c>
      <c r="S138" s="64">
        <v>19200</v>
      </c>
      <c r="T138" s="65">
        <v>19200</v>
      </c>
      <c r="U138" s="63" t="s">
        <v>167</v>
      </c>
    </row>
    <row r="139" spans="1:21" x14ac:dyDescent="0.25">
      <c r="A139" s="185"/>
      <c r="B139" s="6"/>
      <c r="C139" s="9"/>
      <c r="D139" s="9"/>
      <c r="E139" s="8"/>
      <c r="F139" s="10"/>
      <c r="G139" s="10"/>
      <c r="H139" s="7"/>
      <c r="I139" s="7"/>
      <c r="J139" s="7"/>
      <c r="K139" s="66" t="s">
        <v>152</v>
      </c>
      <c r="L139" s="67" t="s">
        <v>153</v>
      </c>
      <c r="M139" s="63" t="s">
        <v>552</v>
      </c>
      <c r="N139" s="67" t="s">
        <v>162</v>
      </c>
      <c r="O139" s="64">
        <v>0</v>
      </c>
      <c r="P139" s="64">
        <v>0</v>
      </c>
      <c r="Q139" s="68">
        <v>38800</v>
      </c>
      <c r="R139" s="68">
        <v>28800</v>
      </c>
      <c r="S139" s="68">
        <v>28800</v>
      </c>
      <c r="T139" s="69">
        <v>28800</v>
      </c>
      <c r="U139" s="63" t="s">
        <v>167</v>
      </c>
    </row>
    <row r="140" spans="1:21" x14ac:dyDescent="0.25">
      <c r="A140" s="185"/>
      <c r="B140" s="6"/>
      <c r="C140" s="9"/>
      <c r="D140" s="9"/>
      <c r="E140" s="8"/>
      <c r="F140" s="10"/>
      <c r="G140" s="10"/>
      <c r="H140" s="7"/>
      <c r="I140" s="7"/>
      <c r="J140" s="7"/>
      <c r="K140" s="66" t="s">
        <v>152</v>
      </c>
      <c r="L140" s="67" t="s">
        <v>153</v>
      </c>
      <c r="M140" s="67" t="s">
        <v>168</v>
      </c>
      <c r="N140" s="67" t="s">
        <v>155</v>
      </c>
      <c r="O140" s="68">
        <v>1265</v>
      </c>
      <c r="P140" s="68">
        <v>1265</v>
      </c>
      <c r="Q140" s="68">
        <v>60000</v>
      </c>
      <c r="R140" s="68">
        <v>60000</v>
      </c>
      <c r="S140" s="68">
        <v>60000</v>
      </c>
      <c r="T140" s="69">
        <v>60000</v>
      </c>
    </row>
    <row r="141" spans="1:21" x14ac:dyDescent="0.25">
      <c r="A141" s="185"/>
      <c r="B141" s="6"/>
      <c r="C141" s="9"/>
      <c r="D141" s="9"/>
      <c r="E141" s="8"/>
      <c r="F141" s="10"/>
      <c r="G141" s="10"/>
      <c r="H141" s="7"/>
      <c r="I141" s="7"/>
      <c r="J141" s="7"/>
      <c r="K141" s="66" t="s">
        <v>152</v>
      </c>
      <c r="L141" s="67" t="s">
        <v>160</v>
      </c>
      <c r="M141" s="67" t="s">
        <v>169</v>
      </c>
      <c r="N141" s="67" t="s">
        <v>162</v>
      </c>
      <c r="O141" s="68">
        <f>63550+1000</f>
        <v>64550</v>
      </c>
      <c r="P141" s="68">
        <f>63550+2.48</f>
        <v>63552.480000000003</v>
      </c>
      <c r="Q141" s="68">
        <v>6000</v>
      </c>
      <c r="R141" s="68">
        <v>6000</v>
      </c>
      <c r="S141" s="68">
        <v>6000</v>
      </c>
      <c r="T141" s="69">
        <v>6000</v>
      </c>
    </row>
    <row r="142" spans="1:21" ht="115.5" customHeight="1" x14ac:dyDescent="0.25">
      <c r="A142" s="185" t="s">
        <v>17</v>
      </c>
      <c r="B142" s="6" t="s">
        <v>57</v>
      </c>
      <c r="C142" s="9" t="s">
        <v>108</v>
      </c>
      <c r="D142" s="9" t="s">
        <v>61</v>
      </c>
      <c r="E142" s="6" t="s">
        <v>109</v>
      </c>
      <c r="F142" s="9" t="s">
        <v>58</v>
      </c>
      <c r="G142" s="9" t="s">
        <v>110</v>
      </c>
      <c r="H142" s="7" t="s">
        <v>395</v>
      </c>
      <c r="I142" s="7" t="s">
        <v>426</v>
      </c>
      <c r="J142" s="7" t="s">
        <v>463</v>
      </c>
      <c r="K142" s="44"/>
      <c r="L142" s="19"/>
      <c r="M142" s="19"/>
      <c r="N142" s="19"/>
      <c r="O142" s="112">
        <f t="shared" ref="O142:T142" si="11">SUM(O143:O147)</f>
        <v>2904000</v>
      </c>
      <c r="P142" s="112">
        <f t="shared" si="11"/>
        <v>2904000</v>
      </c>
      <c r="Q142" s="112">
        <f t="shared" si="11"/>
        <v>2304000</v>
      </c>
      <c r="R142" s="112">
        <f t="shared" si="11"/>
        <v>1664000</v>
      </c>
      <c r="S142" s="112">
        <f>SUM(S143:S147)</f>
        <v>1484000</v>
      </c>
      <c r="T142" s="112">
        <f t="shared" si="11"/>
        <v>1484000</v>
      </c>
    </row>
    <row r="143" spans="1:21" ht="57.75" x14ac:dyDescent="0.25">
      <c r="A143" s="185"/>
      <c r="B143" s="6"/>
      <c r="C143" s="9"/>
      <c r="D143" s="9"/>
      <c r="E143" s="6"/>
      <c r="F143" s="9"/>
      <c r="G143" s="9"/>
      <c r="H143" s="20" t="s">
        <v>340</v>
      </c>
      <c r="I143" s="7" t="s">
        <v>268</v>
      </c>
      <c r="J143" s="7" t="s">
        <v>407</v>
      </c>
      <c r="K143" s="73" t="s">
        <v>153</v>
      </c>
      <c r="L143" s="74" t="s">
        <v>18</v>
      </c>
      <c r="M143" s="74" t="s">
        <v>339</v>
      </c>
      <c r="N143" s="74" t="s">
        <v>162</v>
      </c>
      <c r="O143" s="75">
        <v>180000</v>
      </c>
      <c r="P143" s="75">
        <v>180000</v>
      </c>
      <c r="Q143" s="75">
        <v>180000</v>
      </c>
      <c r="R143" s="75">
        <v>180000</v>
      </c>
      <c r="S143" s="75">
        <v>0</v>
      </c>
      <c r="T143" s="126">
        <v>0</v>
      </c>
    </row>
    <row r="144" spans="1:21" ht="49.5" x14ac:dyDescent="0.25">
      <c r="A144" s="185"/>
      <c r="B144" s="6"/>
      <c r="C144" s="9"/>
      <c r="D144" s="9"/>
      <c r="E144" s="6"/>
      <c r="F144" s="9"/>
      <c r="G144" s="9"/>
      <c r="H144" s="7" t="s">
        <v>473</v>
      </c>
      <c r="I144" s="7" t="s">
        <v>248</v>
      </c>
      <c r="J144" s="7" t="s">
        <v>407</v>
      </c>
      <c r="K144" s="44" t="s">
        <v>238</v>
      </c>
      <c r="L144" s="19" t="s">
        <v>153</v>
      </c>
      <c r="M144" s="19" t="s">
        <v>339</v>
      </c>
      <c r="N144" s="19" t="s">
        <v>221</v>
      </c>
      <c r="O144" s="13">
        <v>2424000</v>
      </c>
      <c r="P144" s="13">
        <v>2424000</v>
      </c>
      <c r="Q144" s="13">
        <v>2124000</v>
      </c>
      <c r="R144" s="13">
        <v>1484000</v>
      </c>
      <c r="S144" s="13">
        <v>1484000</v>
      </c>
      <c r="T144" s="114">
        <v>1484000</v>
      </c>
    </row>
    <row r="145" spans="1:20" ht="66" x14ac:dyDescent="0.25">
      <c r="A145" s="185"/>
      <c r="B145" s="6"/>
      <c r="C145" s="9"/>
      <c r="D145" s="9"/>
      <c r="E145" s="6"/>
      <c r="F145" s="9"/>
      <c r="G145" s="9"/>
      <c r="H145" s="38" t="s">
        <v>235</v>
      </c>
      <c r="I145" s="7" t="s">
        <v>236</v>
      </c>
      <c r="J145" s="39" t="s">
        <v>483</v>
      </c>
      <c r="K145" s="44" t="s">
        <v>238</v>
      </c>
      <c r="L145" s="19" t="s">
        <v>153</v>
      </c>
      <c r="M145" s="19" t="s">
        <v>379</v>
      </c>
      <c r="N145" s="19" t="s">
        <v>221</v>
      </c>
      <c r="O145" s="13">
        <v>300000</v>
      </c>
      <c r="P145" s="13">
        <v>300000</v>
      </c>
      <c r="Q145" s="13">
        <v>0</v>
      </c>
      <c r="R145" s="13">
        <v>0</v>
      </c>
      <c r="S145" s="13">
        <v>0</v>
      </c>
      <c r="T145" s="114">
        <v>0</v>
      </c>
    </row>
    <row r="146" spans="1:20" ht="49.5" x14ac:dyDescent="0.25">
      <c r="A146" s="185"/>
      <c r="B146" s="6"/>
      <c r="C146" s="9"/>
      <c r="D146" s="9"/>
      <c r="E146" s="6"/>
      <c r="F146" s="9"/>
      <c r="G146" s="9"/>
      <c r="H146" s="39" t="s">
        <v>423</v>
      </c>
      <c r="I146" s="39" t="s">
        <v>237</v>
      </c>
      <c r="J146" s="39" t="s">
        <v>474</v>
      </c>
      <c r="K146" s="44"/>
      <c r="L146" s="19"/>
      <c r="M146" s="19"/>
      <c r="N146" s="19"/>
      <c r="O146" s="13"/>
      <c r="P146" s="13"/>
      <c r="Q146" s="13"/>
      <c r="R146" s="13"/>
      <c r="S146" s="13"/>
      <c r="T146" s="114"/>
    </row>
    <row r="147" spans="1:20" ht="41.25" x14ac:dyDescent="0.25">
      <c r="A147" s="185"/>
      <c r="B147" s="6"/>
      <c r="C147" s="9"/>
      <c r="D147" s="9"/>
      <c r="E147" s="6"/>
      <c r="F147" s="9"/>
      <c r="G147" s="9"/>
      <c r="H147" s="7" t="s">
        <v>421</v>
      </c>
      <c r="I147" s="7" t="s">
        <v>58</v>
      </c>
      <c r="J147" s="7" t="s">
        <v>471</v>
      </c>
      <c r="K147" s="73"/>
      <c r="L147" s="74"/>
      <c r="M147" s="74"/>
      <c r="N147" s="74"/>
      <c r="O147" s="75"/>
      <c r="P147" s="75"/>
      <c r="Q147" s="75"/>
      <c r="R147" s="75"/>
      <c r="S147" s="75"/>
      <c r="T147" s="126"/>
    </row>
    <row r="148" spans="1:20" ht="84" customHeight="1" x14ac:dyDescent="0.25">
      <c r="A148" s="185" t="s">
        <v>26</v>
      </c>
      <c r="B148" s="6" t="s">
        <v>57</v>
      </c>
      <c r="C148" s="9" t="s">
        <v>111</v>
      </c>
      <c r="D148" s="9" t="s">
        <v>61</v>
      </c>
      <c r="E148" s="7"/>
      <c r="F148" s="7"/>
      <c r="G148" s="7"/>
      <c r="H148" s="7" t="s">
        <v>395</v>
      </c>
      <c r="I148" s="7" t="s">
        <v>427</v>
      </c>
      <c r="J148" s="7" t="s">
        <v>463</v>
      </c>
      <c r="K148" s="44"/>
      <c r="L148" s="19"/>
      <c r="M148" s="19"/>
      <c r="N148" s="19"/>
      <c r="O148" s="112">
        <f>SUM(O149:O150)</f>
        <v>3857820</v>
      </c>
      <c r="P148" s="112">
        <f t="shared" ref="P148:T148" si="12">SUM(P149:P150)</f>
        <v>3796245.23</v>
      </c>
      <c r="Q148" s="112">
        <f t="shared" si="12"/>
        <v>1795962</v>
      </c>
      <c r="R148" s="112">
        <f t="shared" si="12"/>
        <v>1700000</v>
      </c>
      <c r="S148" s="112">
        <f t="shared" si="12"/>
        <v>500000</v>
      </c>
      <c r="T148" s="112">
        <f t="shared" si="12"/>
        <v>500000</v>
      </c>
    </row>
    <row r="149" spans="1:20" ht="41.25" x14ac:dyDescent="0.25">
      <c r="A149" s="185"/>
      <c r="B149" s="8" t="s">
        <v>112</v>
      </c>
      <c r="C149" s="10" t="s">
        <v>58</v>
      </c>
      <c r="D149" s="10" t="s">
        <v>113</v>
      </c>
      <c r="E149" s="7"/>
      <c r="F149" s="7"/>
      <c r="G149" s="7"/>
      <c r="H149" s="139" t="s">
        <v>250</v>
      </c>
      <c r="I149" s="139" t="s">
        <v>248</v>
      </c>
      <c r="J149" s="139" t="s">
        <v>407</v>
      </c>
      <c r="K149" s="44" t="s">
        <v>175</v>
      </c>
      <c r="L149" s="19" t="s">
        <v>282</v>
      </c>
      <c r="M149" s="19" t="s">
        <v>357</v>
      </c>
      <c r="N149" s="19" t="s">
        <v>155</v>
      </c>
      <c r="O149" s="13"/>
      <c r="P149" s="13"/>
      <c r="Q149" s="13">
        <v>450887.3</v>
      </c>
      <c r="R149" s="13"/>
      <c r="S149" s="13"/>
      <c r="T149" s="114"/>
    </row>
    <row r="150" spans="1:20" x14ac:dyDescent="0.25">
      <c r="A150" s="185"/>
      <c r="B150" s="8"/>
      <c r="C150" s="10"/>
      <c r="D150" s="10"/>
      <c r="E150" s="7"/>
      <c r="F150" s="7"/>
      <c r="G150" s="7"/>
      <c r="H150" s="7"/>
      <c r="I150" s="7"/>
      <c r="J150" s="7"/>
      <c r="K150" s="44" t="s">
        <v>175</v>
      </c>
      <c r="L150" s="19" t="s">
        <v>282</v>
      </c>
      <c r="M150" s="19" t="s">
        <v>357</v>
      </c>
      <c r="N150" s="19" t="s">
        <v>162</v>
      </c>
      <c r="O150" s="13">
        <v>3857820</v>
      </c>
      <c r="P150" s="13">
        <v>3796245.23</v>
      </c>
      <c r="Q150" s="13">
        <v>1345074.7</v>
      </c>
      <c r="R150" s="13">
        <f>500000+1200000</f>
        <v>1700000</v>
      </c>
      <c r="S150" s="13">
        <v>500000</v>
      </c>
      <c r="T150" s="114">
        <v>500000</v>
      </c>
    </row>
    <row r="151" spans="1:20" ht="31.5" customHeight="1" x14ac:dyDescent="0.25">
      <c r="A151" s="185" t="s">
        <v>27</v>
      </c>
      <c r="B151" s="8" t="s">
        <v>57</v>
      </c>
      <c r="C151" s="10" t="s">
        <v>114</v>
      </c>
      <c r="D151" s="10" t="s">
        <v>61</v>
      </c>
      <c r="E151" s="7"/>
      <c r="F151" s="7"/>
      <c r="G151" s="7"/>
      <c r="H151" s="7" t="s">
        <v>395</v>
      </c>
      <c r="I151" s="7" t="s">
        <v>428</v>
      </c>
      <c r="J151" s="7" t="s">
        <v>463</v>
      </c>
      <c r="K151" s="44"/>
      <c r="L151" s="19"/>
      <c r="M151" s="19"/>
      <c r="N151" s="19"/>
      <c r="O151" s="112">
        <f>SUM(O152:O156)</f>
        <v>11516314.039999999</v>
      </c>
      <c r="P151" s="112">
        <f t="shared" ref="P151:S151" si="13">SUM(P152:P156)</f>
        <v>11306092.409999998</v>
      </c>
      <c r="Q151" s="112">
        <f t="shared" si="13"/>
        <v>4412470</v>
      </c>
      <c r="R151" s="112">
        <f t="shared" si="13"/>
        <v>17661756.800000001</v>
      </c>
      <c r="S151" s="112">
        <f t="shared" si="13"/>
        <v>14818814</v>
      </c>
      <c r="T151" s="112">
        <f>SUM(T152:T156)</f>
        <v>14818814</v>
      </c>
    </row>
    <row r="152" spans="1:20" ht="41.25" x14ac:dyDescent="0.25">
      <c r="A152" s="185"/>
      <c r="B152" s="8" t="s">
        <v>530</v>
      </c>
      <c r="C152" s="10"/>
      <c r="D152" s="10" t="s">
        <v>531</v>
      </c>
      <c r="E152" s="7"/>
      <c r="F152" s="7"/>
      <c r="G152" s="7"/>
      <c r="H152" s="42" t="s">
        <v>293</v>
      </c>
      <c r="I152" s="7" t="s">
        <v>429</v>
      </c>
      <c r="J152" s="7" t="s">
        <v>464</v>
      </c>
      <c r="K152" s="70" t="s">
        <v>282</v>
      </c>
      <c r="L152" s="71" t="s">
        <v>195</v>
      </c>
      <c r="M152" s="71" t="s">
        <v>301</v>
      </c>
      <c r="N152" s="71" t="s">
        <v>221</v>
      </c>
      <c r="O152" s="108">
        <v>10552314.039999999</v>
      </c>
      <c r="P152" s="108">
        <v>10529404.039999999</v>
      </c>
      <c r="Q152" s="108">
        <v>3948470</v>
      </c>
      <c r="R152" s="108">
        <f>3958814+202082.2</f>
        <v>4160896.2</v>
      </c>
      <c r="S152" s="108">
        <v>4065814</v>
      </c>
      <c r="T152" s="108">
        <v>4065814</v>
      </c>
    </row>
    <row r="153" spans="1:20" ht="41.25" x14ac:dyDescent="0.25">
      <c r="A153" s="185"/>
      <c r="B153" s="8"/>
      <c r="C153" s="10"/>
      <c r="D153" s="10"/>
      <c r="E153" s="7"/>
      <c r="F153" s="7"/>
      <c r="G153" s="7"/>
      <c r="H153" s="139" t="s">
        <v>528</v>
      </c>
      <c r="I153" s="139"/>
      <c r="J153" s="139" t="s">
        <v>529</v>
      </c>
      <c r="K153" s="70" t="s">
        <v>282</v>
      </c>
      <c r="L153" s="71" t="s">
        <v>195</v>
      </c>
      <c r="M153" s="71" t="s">
        <v>302</v>
      </c>
      <c r="N153" s="71" t="s">
        <v>162</v>
      </c>
      <c r="O153" s="108">
        <v>614000</v>
      </c>
      <c r="P153" s="108">
        <v>476706.28</v>
      </c>
      <c r="Q153" s="108">
        <v>364000</v>
      </c>
      <c r="R153" s="108">
        <v>553000</v>
      </c>
      <c r="S153" s="108">
        <v>553000</v>
      </c>
      <c r="T153" s="108">
        <v>553000</v>
      </c>
    </row>
    <row r="154" spans="1:20" x14ac:dyDescent="0.25">
      <c r="A154" s="185"/>
      <c r="B154" s="8"/>
      <c r="C154" s="10"/>
      <c r="D154" s="10"/>
      <c r="E154" s="7"/>
      <c r="F154" s="7"/>
      <c r="G154" s="7"/>
      <c r="H154" s="7"/>
      <c r="I154" s="7"/>
      <c r="J154" s="7"/>
      <c r="K154" s="70" t="s">
        <v>282</v>
      </c>
      <c r="L154" s="71" t="s">
        <v>195</v>
      </c>
      <c r="M154" s="71" t="s">
        <v>303</v>
      </c>
      <c r="N154" s="71" t="s">
        <v>162</v>
      </c>
      <c r="O154" s="108">
        <v>350000</v>
      </c>
      <c r="P154" s="108">
        <v>299982.09000000003</v>
      </c>
      <c r="Q154" s="108">
        <v>100000</v>
      </c>
      <c r="R154" s="108">
        <v>200000</v>
      </c>
      <c r="S154" s="108">
        <v>200000</v>
      </c>
      <c r="T154" s="108">
        <v>200000</v>
      </c>
    </row>
    <row r="155" spans="1:20" x14ac:dyDescent="0.25">
      <c r="A155" s="185"/>
      <c r="B155" s="8"/>
      <c r="C155" s="10"/>
      <c r="D155" s="10"/>
      <c r="E155" s="7"/>
      <c r="F155" s="7"/>
      <c r="G155" s="7"/>
      <c r="H155" s="7"/>
      <c r="I155" s="7"/>
      <c r="J155" s="7"/>
      <c r="K155" s="70" t="s">
        <v>282</v>
      </c>
      <c r="L155" s="71" t="s">
        <v>195</v>
      </c>
      <c r="M155" s="71" t="s">
        <v>304</v>
      </c>
      <c r="N155" s="71" t="s">
        <v>223</v>
      </c>
      <c r="O155" s="108"/>
      <c r="P155" s="108"/>
      <c r="Q155" s="108"/>
      <c r="R155" s="108">
        <f>2500000-2500000</f>
        <v>0</v>
      </c>
      <c r="S155" s="108">
        <v>10000000</v>
      </c>
      <c r="T155" s="108">
        <v>10000000</v>
      </c>
    </row>
    <row r="156" spans="1:20" x14ac:dyDescent="0.25">
      <c r="A156" s="185"/>
      <c r="B156" s="8"/>
      <c r="C156" s="10"/>
      <c r="D156" s="10"/>
      <c r="E156" s="7"/>
      <c r="F156" s="7"/>
      <c r="G156" s="7"/>
      <c r="H156" s="7"/>
      <c r="I156" s="7"/>
      <c r="J156" s="7"/>
      <c r="K156" s="70" t="s">
        <v>282</v>
      </c>
      <c r="L156" s="71" t="s">
        <v>195</v>
      </c>
      <c r="M156" s="71" t="s">
        <v>304</v>
      </c>
      <c r="N156" s="71" t="s">
        <v>221</v>
      </c>
      <c r="O156" s="108"/>
      <c r="P156" s="108"/>
      <c r="Q156" s="108"/>
      <c r="R156" s="158">
        <v>12747860.6</v>
      </c>
      <c r="S156" s="108"/>
      <c r="T156" s="108"/>
    </row>
    <row r="157" spans="1:20" ht="43.5" customHeight="1" x14ac:dyDescent="0.25">
      <c r="A157" s="185" t="s">
        <v>28</v>
      </c>
      <c r="B157" s="6" t="s">
        <v>57</v>
      </c>
      <c r="C157" s="9" t="s">
        <v>433</v>
      </c>
      <c r="D157" s="9" t="s">
        <v>61</v>
      </c>
      <c r="E157" s="7"/>
      <c r="F157" s="7"/>
      <c r="G157" s="7"/>
      <c r="H157" s="7" t="s">
        <v>395</v>
      </c>
      <c r="I157" s="7" t="s">
        <v>434</v>
      </c>
      <c r="J157" s="7" t="s">
        <v>463</v>
      </c>
      <c r="K157" s="70" t="s">
        <v>244</v>
      </c>
      <c r="L157" s="71" t="s">
        <v>282</v>
      </c>
      <c r="M157" s="55" t="s">
        <v>305</v>
      </c>
      <c r="N157" s="71" t="s">
        <v>162</v>
      </c>
      <c r="O157" s="72">
        <f>3131395+135000</f>
        <v>3266395</v>
      </c>
      <c r="P157" s="72">
        <f>3129594.62+135000</f>
        <v>3264594.62</v>
      </c>
      <c r="Q157" s="72">
        <v>500000</v>
      </c>
      <c r="R157" s="72">
        <f>548000+919500</f>
        <v>1467500</v>
      </c>
      <c r="S157" s="72">
        <v>500000</v>
      </c>
      <c r="T157" s="72">
        <f>S157</f>
        <v>500000</v>
      </c>
    </row>
    <row r="158" spans="1:20" ht="43.5" customHeight="1" x14ac:dyDescent="0.25">
      <c r="A158" s="185"/>
      <c r="B158" s="8" t="s">
        <v>115</v>
      </c>
      <c r="C158" s="10" t="s">
        <v>116</v>
      </c>
      <c r="D158" s="10" t="s">
        <v>117</v>
      </c>
      <c r="E158" s="7"/>
      <c r="F158" s="7"/>
      <c r="G158" s="7"/>
      <c r="H158" s="139" t="s">
        <v>250</v>
      </c>
      <c r="I158" s="139" t="s">
        <v>437</v>
      </c>
      <c r="J158" s="139" t="s">
        <v>407</v>
      </c>
      <c r="K158" s="44"/>
      <c r="L158" s="19"/>
      <c r="M158" s="19"/>
      <c r="N158" s="19"/>
      <c r="O158" s="13"/>
      <c r="P158" s="13"/>
      <c r="Q158" s="13"/>
      <c r="R158" s="13"/>
      <c r="S158" s="13"/>
      <c r="T158" s="114"/>
    </row>
    <row r="159" spans="1:20" ht="49.5" x14ac:dyDescent="0.25">
      <c r="A159" s="185" t="s">
        <v>19</v>
      </c>
      <c r="B159" s="6" t="s">
        <v>57</v>
      </c>
      <c r="C159" s="9" t="s">
        <v>118</v>
      </c>
      <c r="D159" s="9" t="s">
        <v>61</v>
      </c>
      <c r="E159" s="7"/>
      <c r="F159" s="7"/>
      <c r="G159" s="7"/>
      <c r="H159" s="7" t="s">
        <v>395</v>
      </c>
      <c r="I159" s="7" t="s">
        <v>435</v>
      </c>
      <c r="J159" s="7" t="s">
        <v>463</v>
      </c>
      <c r="K159" s="44"/>
      <c r="L159" s="19"/>
      <c r="M159" s="19"/>
      <c r="N159" s="19"/>
      <c r="O159" s="159">
        <f t="shared" ref="O159:T159" si="14">SUM(O160:O177)</f>
        <v>44525935.899999999</v>
      </c>
      <c r="P159" s="159">
        <f t="shared" si="14"/>
        <v>44063711.119999997</v>
      </c>
      <c r="Q159" s="159">
        <f t="shared" si="14"/>
        <v>46127155</v>
      </c>
      <c r="R159" s="159">
        <f t="shared" si="14"/>
        <v>29709308.5</v>
      </c>
      <c r="S159" s="159">
        <f t="shared" si="14"/>
        <v>32685238.600000001</v>
      </c>
      <c r="T159" s="159">
        <f t="shared" si="14"/>
        <v>32685238.600000001</v>
      </c>
    </row>
    <row r="160" spans="1:20" ht="41.25" x14ac:dyDescent="0.25">
      <c r="A160" s="185"/>
      <c r="B160" s="6"/>
      <c r="C160" s="9"/>
      <c r="D160" s="9"/>
      <c r="E160" s="7"/>
      <c r="F160" s="7"/>
      <c r="G160" s="7"/>
      <c r="H160" s="42" t="s">
        <v>432</v>
      </c>
      <c r="I160" s="139" t="s">
        <v>430</v>
      </c>
      <c r="J160" s="139" t="s">
        <v>464</v>
      </c>
      <c r="K160" s="70" t="s">
        <v>282</v>
      </c>
      <c r="L160" s="71" t="s">
        <v>195</v>
      </c>
      <c r="M160" s="71" t="s">
        <v>306</v>
      </c>
      <c r="N160" s="71" t="s">
        <v>162</v>
      </c>
      <c r="O160" s="130">
        <v>2167333.63</v>
      </c>
      <c r="P160" s="130">
        <v>2159784.13</v>
      </c>
      <c r="Q160" s="130">
        <v>1052763</v>
      </c>
      <c r="R160" s="130">
        <v>1440000</v>
      </c>
      <c r="S160" s="130">
        <v>3845000</v>
      </c>
      <c r="T160" s="130">
        <v>3845000</v>
      </c>
    </row>
    <row r="161" spans="1:20" ht="41.25" x14ac:dyDescent="0.25">
      <c r="A161" s="185"/>
      <c r="B161" s="6"/>
      <c r="C161" s="9"/>
      <c r="D161" s="9"/>
      <c r="E161" s="7"/>
      <c r="F161" s="7"/>
      <c r="G161" s="7"/>
      <c r="H161" s="139" t="s">
        <v>250</v>
      </c>
      <c r="I161" s="139" t="s">
        <v>504</v>
      </c>
      <c r="J161" s="139" t="s">
        <v>407</v>
      </c>
      <c r="K161" s="70" t="s">
        <v>282</v>
      </c>
      <c r="L161" s="71" t="s">
        <v>195</v>
      </c>
      <c r="M161" s="55" t="s">
        <v>307</v>
      </c>
      <c r="N161" s="71" t="s">
        <v>162</v>
      </c>
      <c r="O161" s="130">
        <v>12084631.789999999</v>
      </c>
      <c r="P161" s="130">
        <v>11826666.43</v>
      </c>
      <c r="Q161" s="130">
        <v>12475390</v>
      </c>
      <c r="R161" s="130">
        <f>12728600+2278508.5</f>
        <v>15007108.5</v>
      </c>
      <c r="S161" s="130">
        <v>12728600</v>
      </c>
      <c r="T161" s="130">
        <v>12728600</v>
      </c>
    </row>
    <row r="162" spans="1:20" ht="41.25" x14ac:dyDescent="0.25">
      <c r="A162" s="185"/>
      <c r="B162" s="6"/>
      <c r="C162" s="9"/>
      <c r="D162" s="9"/>
      <c r="E162" s="7"/>
      <c r="F162" s="7"/>
      <c r="G162" s="7"/>
      <c r="H162" s="24" t="s">
        <v>431</v>
      </c>
      <c r="I162" s="25"/>
      <c r="J162" s="26" t="s">
        <v>475</v>
      </c>
      <c r="K162" s="70" t="s">
        <v>282</v>
      </c>
      <c r="L162" s="71" t="s">
        <v>195</v>
      </c>
      <c r="M162" s="55" t="s">
        <v>308</v>
      </c>
      <c r="N162" s="71" t="s">
        <v>162</v>
      </c>
      <c r="O162" s="130">
        <v>4890062.5</v>
      </c>
      <c r="P162" s="130">
        <v>4890062.5</v>
      </c>
      <c r="Q162" s="130">
        <v>3648180</v>
      </c>
      <c r="R162" s="130">
        <v>4304200</v>
      </c>
      <c r="S162" s="130">
        <f>R162</f>
        <v>4304200</v>
      </c>
      <c r="T162" s="130">
        <f t="shared" ref="T162:T164" si="15">S162</f>
        <v>4304200</v>
      </c>
    </row>
    <row r="163" spans="1:20" x14ac:dyDescent="0.25">
      <c r="A163" s="185"/>
      <c r="B163" s="6"/>
      <c r="C163" s="9"/>
      <c r="D163" s="9"/>
      <c r="E163" s="7"/>
      <c r="F163" s="7"/>
      <c r="G163" s="7"/>
      <c r="H163" s="41"/>
      <c r="I163" s="7"/>
      <c r="J163" s="7"/>
      <c r="K163" s="70" t="s">
        <v>282</v>
      </c>
      <c r="L163" s="71" t="s">
        <v>195</v>
      </c>
      <c r="M163" s="55" t="s">
        <v>309</v>
      </c>
      <c r="N163" s="71" t="s">
        <v>162</v>
      </c>
      <c r="O163" s="130">
        <v>0</v>
      </c>
      <c r="P163" s="130">
        <v>0</v>
      </c>
      <c r="Q163" s="130">
        <v>775600</v>
      </c>
      <c r="R163" s="130">
        <v>775600</v>
      </c>
      <c r="S163" s="130">
        <f>R163</f>
        <v>775600</v>
      </c>
      <c r="T163" s="130">
        <f t="shared" si="15"/>
        <v>775600</v>
      </c>
    </row>
    <row r="164" spans="1:20" x14ac:dyDescent="0.25">
      <c r="A164" s="185"/>
      <c r="B164" s="6"/>
      <c r="C164" s="9"/>
      <c r="D164" s="9"/>
      <c r="E164" s="7"/>
      <c r="F164" s="7"/>
      <c r="G164" s="7"/>
      <c r="H164" s="41"/>
      <c r="I164" s="7"/>
      <c r="J164" s="7"/>
      <c r="K164" s="70" t="s">
        <v>282</v>
      </c>
      <c r="L164" s="71" t="s">
        <v>195</v>
      </c>
      <c r="M164" s="55" t="s">
        <v>310</v>
      </c>
      <c r="N164" s="71" t="s">
        <v>162</v>
      </c>
      <c r="O164" s="130">
        <v>455368.11</v>
      </c>
      <c r="P164" s="130">
        <v>370167.01</v>
      </c>
      <c r="Q164" s="130">
        <v>700000</v>
      </c>
      <c r="R164" s="130">
        <v>700000</v>
      </c>
      <c r="S164" s="130">
        <f>R164</f>
        <v>700000</v>
      </c>
      <c r="T164" s="130">
        <f t="shared" si="15"/>
        <v>700000</v>
      </c>
    </row>
    <row r="165" spans="1:20" x14ac:dyDescent="0.25">
      <c r="A165" s="185"/>
      <c r="B165" s="6"/>
      <c r="C165" s="9"/>
      <c r="D165" s="9"/>
      <c r="E165" s="7"/>
      <c r="F165" s="7"/>
      <c r="G165" s="7"/>
      <c r="H165" s="41"/>
      <c r="I165" s="7"/>
      <c r="J165" s="7"/>
      <c r="K165" s="70" t="s">
        <v>282</v>
      </c>
      <c r="L165" s="71" t="s">
        <v>195</v>
      </c>
      <c r="M165" s="55" t="s">
        <v>311</v>
      </c>
      <c r="N165" s="71" t="s">
        <v>162</v>
      </c>
      <c r="O165" s="130">
        <v>6360408.4699999997</v>
      </c>
      <c r="P165" s="130">
        <v>6340375.2199999997</v>
      </c>
      <c r="Q165" s="130">
        <v>9152288</v>
      </c>
      <c r="R165" s="130">
        <v>4206500</v>
      </c>
      <c r="S165" s="130">
        <v>6306500</v>
      </c>
      <c r="T165" s="130">
        <f>S165</f>
        <v>6306500</v>
      </c>
    </row>
    <row r="166" spans="1:20" x14ac:dyDescent="0.25">
      <c r="A166" s="185"/>
      <c r="B166" s="6"/>
      <c r="C166" s="9"/>
      <c r="D166" s="9"/>
      <c r="E166" s="7"/>
      <c r="F166" s="7"/>
      <c r="G166" s="7"/>
      <c r="H166" s="7"/>
      <c r="I166" s="7"/>
      <c r="J166" s="7"/>
      <c r="K166" s="70" t="s">
        <v>282</v>
      </c>
      <c r="L166" s="71" t="s">
        <v>195</v>
      </c>
      <c r="M166" s="55" t="s">
        <v>312</v>
      </c>
      <c r="N166" s="71" t="s">
        <v>162</v>
      </c>
      <c r="O166" s="130">
        <v>775149.19</v>
      </c>
      <c r="P166" s="130">
        <v>775149.19</v>
      </c>
      <c r="Q166" s="130">
        <f>314500</f>
        <v>314500</v>
      </c>
      <c r="R166" s="130">
        <v>0</v>
      </c>
      <c r="S166" s="130">
        <v>0</v>
      </c>
      <c r="T166" s="130">
        <v>0</v>
      </c>
    </row>
    <row r="167" spans="1:20" x14ac:dyDescent="0.25">
      <c r="A167" s="185"/>
      <c r="B167" s="6"/>
      <c r="C167" s="9"/>
      <c r="D167" s="9"/>
      <c r="E167" s="7"/>
      <c r="F167" s="7"/>
      <c r="G167" s="7"/>
      <c r="H167" s="7"/>
      <c r="I167" s="7"/>
      <c r="J167" s="7"/>
      <c r="K167" s="70" t="s">
        <v>282</v>
      </c>
      <c r="L167" s="71" t="s">
        <v>195</v>
      </c>
      <c r="M167" s="55" t="s">
        <v>313</v>
      </c>
      <c r="N167" s="71" t="s">
        <v>162</v>
      </c>
      <c r="O167" s="130">
        <v>570123.30000000005</v>
      </c>
      <c r="P167" s="130">
        <v>570120.04</v>
      </c>
      <c r="Q167" s="130">
        <v>41600</v>
      </c>
      <c r="R167" s="130">
        <v>0</v>
      </c>
      <c r="S167" s="130">
        <v>0</v>
      </c>
      <c r="T167" s="130">
        <v>0</v>
      </c>
    </row>
    <row r="168" spans="1:20" x14ac:dyDescent="0.25">
      <c r="A168" s="185"/>
      <c r="B168" s="6"/>
      <c r="C168" s="9"/>
      <c r="D168" s="9"/>
      <c r="E168" s="7"/>
      <c r="F168" s="7"/>
      <c r="G168" s="7"/>
      <c r="H168" s="7"/>
      <c r="I168" s="7"/>
      <c r="J168" s="7"/>
      <c r="K168" s="70" t="s">
        <v>282</v>
      </c>
      <c r="L168" s="71" t="s">
        <v>195</v>
      </c>
      <c r="M168" s="55" t="s">
        <v>314</v>
      </c>
      <c r="N168" s="71" t="s">
        <v>223</v>
      </c>
      <c r="O168" s="130">
        <v>0</v>
      </c>
      <c r="P168" s="130">
        <v>0</v>
      </c>
      <c r="Q168" s="130">
        <v>291000</v>
      </c>
      <c r="R168" s="130">
        <v>0</v>
      </c>
      <c r="S168" s="130">
        <v>0</v>
      </c>
      <c r="T168" s="130">
        <v>0</v>
      </c>
    </row>
    <row r="169" spans="1:20" x14ac:dyDescent="0.25">
      <c r="A169" s="185"/>
      <c r="B169" s="6"/>
      <c r="C169" s="9"/>
      <c r="D169" s="9"/>
      <c r="E169" s="7"/>
      <c r="F169" s="7"/>
      <c r="G169" s="7"/>
      <c r="H169" s="7"/>
      <c r="I169" s="7"/>
      <c r="J169" s="7"/>
      <c r="K169" s="70" t="s">
        <v>282</v>
      </c>
      <c r="L169" s="71" t="s">
        <v>195</v>
      </c>
      <c r="M169" s="55" t="s">
        <v>315</v>
      </c>
      <c r="N169" s="71" t="s">
        <v>162</v>
      </c>
      <c r="O169" s="130">
        <v>427056</v>
      </c>
      <c r="P169" s="130">
        <v>383091.67</v>
      </c>
      <c r="Q169" s="130">
        <f>398890</f>
        <v>398890</v>
      </c>
      <c r="R169" s="130">
        <v>0</v>
      </c>
      <c r="S169" s="130">
        <v>0</v>
      </c>
      <c r="T169" s="130">
        <v>0</v>
      </c>
    </row>
    <row r="170" spans="1:20" x14ac:dyDescent="0.25">
      <c r="A170" s="185"/>
      <c r="B170" s="6"/>
      <c r="C170" s="9"/>
      <c r="D170" s="9"/>
      <c r="E170" s="7"/>
      <c r="F170" s="7"/>
      <c r="G170" s="7"/>
      <c r="H170" s="7"/>
      <c r="I170" s="7"/>
      <c r="J170" s="7"/>
      <c r="K170" s="70" t="s">
        <v>282</v>
      </c>
      <c r="L170" s="71" t="s">
        <v>195</v>
      </c>
      <c r="M170" s="55" t="s">
        <v>316</v>
      </c>
      <c r="N170" s="71" t="s">
        <v>162</v>
      </c>
      <c r="O170" s="130">
        <v>857724.09</v>
      </c>
      <c r="P170" s="130">
        <v>857724.09</v>
      </c>
      <c r="Q170" s="130">
        <v>790424</v>
      </c>
      <c r="R170" s="130">
        <v>800000</v>
      </c>
      <c r="S170" s="130">
        <v>0</v>
      </c>
      <c r="T170" s="130">
        <v>0</v>
      </c>
    </row>
    <row r="171" spans="1:20" x14ac:dyDescent="0.25">
      <c r="A171" s="185"/>
      <c r="B171" s="6"/>
      <c r="C171" s="9"/>
      <c r="D171" s="9"/>
      <c r="E171" s="7"/>
      <c r="F171" s="7"/>
      <c r="G171" s="7"/>
      <c r="H171" s="7"/>
      <c r="I171" s="7"/>
      <c r="J171" s="7"/>
      <c r="K171" s="70" t="s">
        <v>282</v>
      </c>
      <c r="L171" s="71" t="s">
        <v>195</v>
      </c>
      <c r="M171" s="55" t="s">
        <v>317</v>
      </c>
      <c r="N171" s="71" t="s">
        <v>162</v>
      </c>
      <c r="O171" s="130">
        <v>5915159.1299999999</v>
      </c>
      <c r="P171" s="130">
        <v>5867922.2699999996</v>
      </c>
      <c r="Q171" s="130">
        <f>2650450</f>
        <v>2650450</v>
      </c>
      <c r="R171" s="130">
        <v>0</v>
      </c>
      <c r="S171" s="130">
        <v>0</v>
      </c>
      <c r="T171" s="130">
        <v>0</v>
      </c>
    </row>
    <row r="172" spans="1:20" x14ac:dyDescent="0.25">
      <c r="A172" s="185"/>
      <c r="B172" s="6"/>
      <c r="C172" s="9"/>
      <c r="D172" s="9"/>
      <c r="E172" s="7"/>
      <c r="F172" s="7"/>
      <c r="G172" s="7"/>
      <c r="H172" s="7"/>
      <c r="I172" s="7"/>
      <c r="J172" s="7"/>
      <c r="K172" s="70" t="s">
        <v>282</v>
      </c>
      <c r="L172" s="71" t="s">
        <v>195</v>
      </c>
      <c r="M172" s="55" t="s">
        <v>318</v>
      </c>
      <c r="N172" s="71" t="s">
        <v>162</v>
      </c>
      <c r="O172" s="130">
        <v>2899206.43</v>
      </c>
      <c r="P172" s="130">
        <v>2899206.43</v>
      </c>
      <c r="Q172" s="130">
        <f>4065820</f>
        <v>4065820</v>
      </c>
      <c r="R172" s="130">
        <v>2475900</v>
      </c>
      <c r="S172" s="130">
        <v>4025338.6</v>
      </c>
      <c r="T172" s="130">
        <f>S172</f>
        <v>4025338.6</v>
      </c>
    </row>
    <row r="173" spans="1:20" x14ac:dyDescent="0.25">
      <c r="A173" s="185"/>
      <c r="B173" s="6"/>
      <c r="C173" s="9"/>
      <c r="D173" s="9"/>
      <c r="E173" s="7"/>
      <c r="F173" s="7"/>
      <c r="G173" s="7"/>
      <c r="H173" s="7"/>
      <c r="I173" s="7"/>
      <c r="J173" s="7"/>
      <c r="K173" s="70" t="s">
        <v>282</v>
      </c>
      <c r="L173" s="71" t="s">
        <v>195</v>
      </c>
      <c r="M173" s="55" t="s">
        <v>319</v>
      </c>
      <c r="N173" s="71" t="s">
        <v>162</v>
      </c>
      <c r="O173" s="130">
        <v>3655650</v>
      </c>
      <c r="P173" s="130">
        <v>3655649.63</v>
      </c>
      <c r="Q173" s="130">
        <f>7043880</f>
        <v>7043880</v>
      </c>
      <c r="R173" s="130">
        <v>0</v>
      </c>
      <c r="S173" s="130">
        <v>0</v>
      </c>
      <c r="T173" s="130">
        <v>0</v>
      </c>
    </row>
    <row r="174" spans="1:20" x14ac:dyDescent="0.25">
      <c r="A174" s="185"/>
      <c r="B174" s="6"/>
      <c r="C174" s="9"/>
      <c r="D174" s="9"/>
      <c r="E174" s="7"/>
      <c r="F174" s="7"/>
      <c r="G174" s="7"/>
      <c r="H174" s="7"/>
      <c r="I174" s="7"/>
      <c r="J174" s="7"/>
      <c r="K174" s="70" t="s">
        <v>282</v>
      </c>
      <c r="L174" s="71" t="s">
        <v>195</v>
      </c>
      <c r="M174" s="55" t="s">
        <v>320</v>
      </c>
      <c r="N174" s="71" t="s">
        <v>162</v>
      </c>
      <c r="O174" s="130">
        <v>0</v>
      </c>
      <c r="P174" s="130">
        <v>0</v>
      </c>
      <c r="Q174" s="130">
        <v>100000</v>
      </c>
      <c r="R174" s="130">
        <v>0</v>
      </c>
      <c r="S174" s="130">
        <v>0</v>
      </c>
      <c r="T174" s="130">
        <v>0</v>
      </c>
    </row>
    <row r="175" spans="1:20" x14ac:dyDescent="0.25">
      <c r="A175" s="185"/>
      <c r="B175" s="6"/>
      <c r="C175" s="9"/>
      <c r="D175" s="9"/>
      <c r="E175" s="7"/>
      <c r="F175" s="7"/>
      <c r="G175" s="7"/>
      <c r="H175" s="7"/>
      <c r="I175" s="7"/>
      <c r="J175" s="7"/>
      <c r="K175" s="70" t="s">
        <v>282</v>
      </c>
      <c r="L175" s="71" t="s">
        <v>195</v>
      </c>
      <c r="M175" s="55" t="s">
        <v>321</v>
      </c>
      <c r="N175" s="71" t="s">
        <v>162</v>
      </c>
      <c r="O175" s="130">
        <v>2598063.2599999998</v>
      </c>
      <c r="P175" s="130">
        <v>2597792.5099999998</v>
      </c>
      <c r="Q175" s="130">
        <f>2626370</f>
        <v>2626370</v>
      </c>
      <c r="R175" s="130">
        <v>0</v>
      </c>
      <c r="S175" s="130">
        <v>0</v>
      </c>
      <c r="T175" s="130">
        <v>0</v>
      </c>
    </row>
    <row r="176" spans="1:20" x14ac:dyDescent="0.25">
      <c r="A176" s="185"/>
      <c r="B176" s="6"/>
      <c r="C176" s="9"/>
      <c r="D176" s="9"/>
      <c r="E176" s="7"/>
      <c r="F176" s="7"/>
      <c r="G176" s="7"/>
      <c r="H176" s="7"/>
      <c r="I176" s="7"/>
      <c r="J176" s="7"/>
      <c r="K176" s="44" t="s">
        <v>282</v>
      </c>
      <c r="L176" s="19" t="s">
        <v>195</v>
      </c>
      <c r="M176" s="19" t="s">
        <v>358</v>
      </c>
      <c r="N176" s="19" t="s">
        <v>221</v>
      </c>
      <c r="O176" s="13">
        <v>270000</v>
      </c>
      <c r="P176" s="13">
        <v>270000</v>
      </c>
      <c r="Q176" s="13">
        <v>0</v>
      </c>
      <c r="R176" s="13">
        <v>0</v>
      </c>
      <c r="S176" s="13">
        <v>0</v>
      </c>
      <c r="T176" s="114">
        <v>0</v>
      </c>
    </row>
    <row r="177" spans="1:20" x14ac:dyDescent="0.25">
      <c r="A177" s="185"/>
      <c r="B177" s="6"/>
      <c r="C177" s="9"/>
      <c r="D177" s="9"/>
      <c r="E177" s="7"/>
      <c r="F177" s="7"/>
      <c r="G177" s="7"/>
      <c r="H177" s="7"/>
      <c r="I177" s="7"/>
      <c r="J177" s="7"/>
      <c r="K177" s="44" t="s">
        <v>243</v>
      </c>
      <c r="L177" s="19" t="s">
        <v>195</v>
      </c>
      <c r="M177" s="19" t="s">
        <v>216</v>
      </c>
      <c r="N177" s="19" t="s">
        <v>221</v>
      </c>
      <c r="O177" s="13">
        <v>600000</v>
      </c>
      <c r="P177" s="13">
        <v>600000</v>
      </c>
      <c r="Q177" s="13">
        <v>0</v>
      </c>
      <c r="R177" s="13">
        <v>0</v>
      </c>
      <c r="S177" s="13">
        <v>0</v>
      </c>
      <c r="T177" s="114">
        <v>0</v>
      </c>
    </row>
    <row r="178" spans="1:20" ht="49.5" x14ac:dyDescent="0.25">
      <c r="A178" s="185" t="s">
        <v>507</v>
      </c>
      <c r="B178" s="141" t="s">
        <v>57</v>
      </c>
      <c r="C178" s="110" t="s">
        <v>508</v>
      </c>
      <c r="D178" s="110" t="s">
        <v>61</v>
      </c>
      <c r="E178" s="7"/>
      <c r="F178" s="7"/>
      <c r="G178" s="7"/>
      <c r="H178" s="7" t="s">
        <v>395</v>
      </c>
      <c r="I178" s="7" t="s">
        <v>511</v>
      </c>
      <c r="J178" s="7" t="s">
        <v>463</v>
      </c>
      <c r="K178" s="70"/>
      <c r="L178" s="71"/>
      <c r="M178" s="71"/>
      <c r="N178" s="71"/>
      <c r="O178" s="72">
        <f>SUM(O179:O183)</f>
        <v>3891185.96</v>
      </c>
      <c r="P178" s="72">
        <f t="shared" ref="P178:T178" si="16">SUM(P179:P183)</f>
        <v>3891180</v>
      </c>
      <c r="Q178" s="72">
        <f t="shared" si="16"/>
        <v>3600000</v>
      </c>
      <c r="R178" s="72">
        <f t="shared" si="16"/>
        <v>1000000</v>
      </c>
      <c r="S178" s="72">
        <f t="shared" si="16"/>
        <v>1500000</v>
      </c>
      <c r="T178" s="72">
        <f t="shared" si="16"/>
        <v>1500000</v>
      </c>
    </row>
    <row r="179" spans="1:20" ht="49.5" x14ac:dyDescent="0.25">
      <c r="A179" s="185"/>
      <c r="B179" s="142" t="s">
        <v>509</v>
      </c>
      <c r="C179" s="111" t="s">
        <v>58</v>
      </c>
      <c r="D179" s="111" t="s">
        <v>87</v>
      </c>
      <c r="E179" s="7"/>
      <c r="F179" s="7"/>
      <c r="G179" s="7"/>
      <c r="H179" s="7" t="s">
        <v>516</v>
      </c>
      <c r="I179" s="7"/>
      <c r="J179" s="7" t="s">
        <v>466</v>
      </c>
      <c r="K179" s="70" t="s">
        <v>153</v>
      </c>
      <c r="L179" s="71" t="s">
        <v>238</v>
      </c>
      <c r="M179" s="71" t="s">
        <v>298</v>
      </c>
      <c r="N179" s="71" t="s">
        <v>162</v>
      </c>
      <c r="O179" s="108">
        <v>0</v>
      </c>
      <c r="P179" s="108">
        <v>0</v>
      </c>
      <c r="Q179" s="108">
        <v>2600000</v>
      </c>
      <c r="R179" s="108">
        <v>0</v>
      </c>
      <c r="S179" s="108">
        <v>500000</v>
      </c>
      <c r="T179" s="108">
        <v>500000</v>
      </c>
    </row>
    <row r="180" spans="1:20" ht="49.5" x14ac:dyDescent="0.25">
      <c r="A180" s="185"/>
      <c r="B180" s="141" t="s">
        <v>63</v>
      </c>
      <c r="C180" s="110" t="s">
        <v>510</v>
      </c>
      <c r="D180" s="110" t="s">
        <v>64</v>
      </c>
      <c r="E180" s="7"/>
      <c r="F180" s="7"/>
      <c r="G180" s="7"/>
      <c r="H180" s="7" t="s">
        <v>542</v>
      </c>
      <c r="I180" s="7"/>
      <c r="J180" s="7" t="s">
        <v>543</v>
      </c>
      <c r="K180" s="70" t="s">
        <v>282</v>
      </c>
      <c r="L180" s="71" t="s">
        <v>186</v>
      </c>
      <c r="M180" s="55" t="s">
        <v>322</v>
      </c>
      <c r="N180" s="71" t="s">
        <v>162</v>
      </c>
      <c r="O180" s="130">
        <v>0</v>
      </c>
      <c r="P180" s="130">
        <v>0</v>
      </c>
      <c r="Q180" s="130">
        <v>1000000</v>
      </c>
      <c r="R180" s="130">
        <v>1000000</v>
      </c>
      <c r="S180" s="130">
        <v>1000000</v>
      </c>
      <c r="T180" s="130">
        <v>1000000</v>
      </c>
    </row>
    <row r="181" spans="1:20" x14ac:dyDescent="0.25">
      <c r="A181" s="185"/>
      <c r="B181" s="6"/>
      <c r="C181" s="9"/>
      <c r="D181" s="9"/>
      <c r="E181" s="7"/>
      <c r="F181" s="7"/>
      <c r="G181" s="7"/>
      <c r="H181" s="7"/>
      <c r="I181" s="7"/>
      <c r="J181" s="7"/>
      <c r="K181" s="70" t="s">
        <v>282</v>
      </c>
      <c r="L181" s="71" t="s">
        <v>186</v>
      </c>
      <c r="M181" s="71" t="s">
        <v>326</v>
      </c>
      <c r="N181" s="71" t="s">
        <v>223</v>
      </c>
      <c r="O181" s="130">
        <v>3700000</v>
      </c>
      <c r="P181" s="130">
        <v>3700000</v>
      </c>
      <c r="Q181" s="130">
        <v>0</v>
      </c>
      <c r="R181" s="130">
        <v>0</v>
      </c>
      <c r="S181" s="130">
        <v>0</v>
      </c>
      <c r="T181" s="130">
        <v>0</v>
      </c>
    </row>
    <row r="182" spans="1:20" x14ac:dyDescent="0.25">
      <c r="A182" s="185"/>
      <c r="B182" s="6"/>
      <c r="C182" s="9"/>
      <c r="D182" s="9"/>
      <c r="E182" s="7"/>
      <c r="F182" s="7"/>
      <c r="G182" s="7"/>
      <c r="H182" s="7"/>
      <c r="I182" s="7"/>
      <c r="J182" s="7"/>
      <c r="K182" s="70" t="s">
        <v>282</v>
      </c>
      <c r="L182" s="71" t="s">
        <v>186</v>
      </c>
      <c r="M182" s="71" t="s">
        <v>327</v>
      </c>
      <c r="N182" s="71" t="s">
        <v>162</v>
      </c>
      <c r="O182" s="130">
        <v>95592.98</v>
      </c>
      <c r="P182" s="130">
        <v>95590</v>
      </c>
      <c r="Q182" s="130">
        <v>0</v>
      </c>
      <c r="R182" s="130">
        <v>0</v>
      </c>
      <c r="S182" s="130">
        <v>0</v>
      </c>
      <c r="T182" s="130">
        <v>0</v>
      </c>
    </row>
    <row r="183" spans="1:20" x14ac:dyDescent="0.25">
      <c r="A183" s="185"/>
      <c r="B183" s="6"/>
      <c r="C183" s="9"/>
      <c r="D183" s="9"/>
      <c r="E183" s="7"/>
      <c r="F183" s="7"/>
      <c r="G183" s="7"/>
      <c r="H183" s="7"/>
      <c r="I183" s="7"/>
      <c r="J183" s="7"/>
      <c r="K183" s="70" t="s">
        <v>282</v>
      </c>
      <c r="L183" s="71" t="s">
        <v>186</v>
      </c>
      <c r="M183" s="71" t="s">
        <v>326</v>
      </c>
      <c r="N183" s="71" t="s">
        <v>162</v>
      </c>
      <c r="O183" s="130">
        <v>95592.98</v>
      </c>
      <c r="P183" s="130">
        <v>95590</v>
      </c>
      <c r="Q183" s="130">
        <v>0</v>
      </c>
      <c r="R183" s="130">
        <v>0</v>
      </c>
      <c r="S183" s="130">
        <v>0</v>
      </c>
      <c r="T183" s="130">
        <v>0</v>
      </c>
    </row>
    <row r="184" spans="1:20" ht="41.25" customHeight="1" x14ac:dyDescent="0.25">
      <c r="A184" s="185" t="s">
        <v>20</v>
      </c>
      <c r="B184" s="6" t="s">
        <v>57</v>
      </c>
      <c r="C184" s="9" t="s">
        <v>119</v>
      </c>
      <c r="D184" s="9" t="s">
        <v>61</v>
      </c>
      <c r="E184" s="6" t="s">
        <v>120</v>
      </c>
      <c r="F184" s="9" t="s">
        <v>121</v>
      </c>
      <c r="G184" s="9" t="s">
        <v>122</v>
      </c>
      <c r="H184" s="7" t="s">
        <v>395</v>
      </c>
      <c r="I184" s="7" t="s">
        <v>436</v>
      </c>
      <c r="J184" s="7" t="s">
        <v>463</v>
      </c>
      <c r="K184" s="44"/>
      <c r="L184" s="19"/>
      <c r="M184" s="19"/>
      <c r="N184" s="19"/>
      <c r="O184" s="159">
        <f>SUM(O185:O191)</f>
        <v>10302931.979999999</v>
      </c>
      <c r="P184" s="159">
        <f t="shared" ref="P184:T184" si="17">SUM(P185:P191)</f>
        <v>10276733.959999999</v>
      </c>
      <c r="Q184" s="159">
        <f t="shared" si="17"/>
        <v>6935926</v>
      </c>
      <c r="R184" s="159">
        <f t="shared" si="17"/>
        <v>6881783.7400000002</v>
      </c>
      <c r="S184" s="159">
        <f t="shared" si="17"/>
        <v>6762598.7599999998</v>
      </c>
      <c r="T184" s="159">
        <f t="shared" si="17"/>
        <v>6795926</v>
      </c>
    </row>
    <row r="185" spans="1:20" ht="66" x14ac:dyDescent="0.25">
      <c r="A185" s="185"/>
      <c r="B185" s="8" t="s">
        <v>123</v>
      </c>
      <c r="C185" s="10" t="s">
        <v>58</v>
      </c>
      <c r="D185" s="10" t="s">
        <v>124</v>
      </c>
      <c r="E185" s="6"/>
      <c r="F185" s="9"/>
      <c r="G185" s="9"/>
      <c r="H185" s="140" t="s">
        <v>235</v>
      </c>
      <c r="I185" s="39" t="s">
        <v>236</v>
      </c>
      <c r="J185" s="39" t="s">
        <v>483</v>
      </c>
      <c r="K185" s="44" t="s">
        <v>195</v>
      </c>
      <c r="L185" s="19" t="s">
        <v>199</v>
      </c>
      <c r="M185" s="19" t="s">
        <v>359</v>
      </c>
      <c r="N185" s="19" t="s">
        <v>162</v>
      </c>
      <c r="O185" s="13">
        <v>380860.03</v>
      </c>
      <c r="P185" s="13">
        <v>380860.03</v>
      </c>
      <c r="Q185" s="13">
        <v>140000</v>
      </c>
      <c r="R185" s="13">
        <v>13300</v>
      </c>
      <c r="S185" s="13">
        <v>0</v>
      </c>
      <c r="T185" s="114">
        <v>0</v>
      </c>
    </row>
    <row r="186" spans="1:20" ht="41.25" x14ac:dyDescent="0.25">
      <c r="A186" s="185"/>
      <c r="B186" s="8"/>
      <c r="C186" s="10"/>
      <c r="D186" s="10"/>
      <c r="E186" s="6"/>
      <c r="F186" s="9"/>
      <c r="G186" s="9"/>
      <c r="H186" s="139" t="s">
        <v>250</v>
      </c>
      <c r="I186" s="139" t="s">
        <v>505</v>
      </c>
      <c r="J186" s="139" t="s">
        <v>407</v>
      </c>
      <c r="K186" s="44" t="s">
        <v>195</v>
      </c>
      <c r="L186" s="19" t="s">
        <v>199</v>
      </c>
      <c r="M186" s="19" t="s">
        <v>324</v>
      </c>
      <c r="N186" s="19" t="s">
        <v>155</v>
      </c>
      <c r="O186" s="13">
        <v>145997.20000000001</v>
      </c>
      <c r="P186" s="13">
        <v>145997.20000000001</v>
      </c>
      <c r="Q186" s="13">
        <v>100000</v>
      </c>
      <c r="R186" s="13">
        <f>100000+100000</f>
        <v>200000</v>
      </c>
      <c r="S186" s="13">
        <v>100000</v>
      </c>
      <c r="T186" s="114">
        <v>100000</v>
      </c>
    </row>
    <row r="187" spans="1:20" ht="41.25" x14ac:dyDescent="0.25">
      <c r="A187" s="185"/>
      <c r="B187" s="8"/>
      <c r="C187" s="10"/>
      <c r="D187" s="10"/>
      <c r="E187" s="6"/>
      <c r="F187" s="9"/>
      <c r="G187" s="9"/>
      <c r="H187" s="7" t="s">
        <v>421</v>
      </c>
      <c r="I187" s="7" t="s">
        <v>58</v>
      </c>
      <c r="J187" s="7" t="s">
        <v>471</v>
      </c>
      <c r="K187" s="44" t="s">
        <v>195</v>
      </c>
      <c r="L187" s="19" t="s">
        <v>199</v>
      </c>
      <c r="M187" s="19" t="s">
        <v>360</v>
      </c>
      <c r="N187" s="19" t="s">
        <v>155</v>
      </c>
      <c r="O187" s="13">
        <v>6215102.9699999997</v>
      </c>
      <c r="P187" s="13">
        <v>6200553.5899999999</v>
      </c>
      <c r="Q187" s="13">
        <v>6410089.7999999998</v>
      </c>
      <c r="R187" s="13">
        <f>6410090+840</f>
        <v>6410930</v>
      </c>
      <c r="S187" s="13">
        <v>6410090</v>
      </c>
      <c r="T187" s="114">
        <v>6410090</v>
      </c>
    </row>
    <row r="188" spans="1:20" ht="49.5" x14ac:dyDescent="0.25">
      <c r="A188" s="185"/>
      <c r="B188" s="8"/>
      <c r="C188" s="10"/>
      <c r="D188" s="10"/>
      <c r="E188" s="6"/>
      <c r="F188" s="9"/>
      <c r="G188" s="9"/>
      <c r="H188" s="7" t="s">
        <v>532</v>
      </c>
      <c r="I188" s="7"/>
      <c r="J188" s="7" t="s">
        <v>533</v>
      </c>
      <c r="K188" s="44" t="s">
        <v>195</v>
      </c>
      <c r="L188" s="19" t="s">
        <v>199</v>
      </c>
      <c r="M188" s="19" t="s">
        <v>360</v>
      </c>
      <c r="N188" s="19" t="s">
        <v>162</v>
      </c>
      <c r="O188" s="13">
        <v>126160</v>
      </c>
      <c r="P188" s="13">
        <v>115167.36</v>
      </c>
      <c r="Q188" s="13">
        <v>280836.2</v>
      </c>
      <c r="R188" s="13">
        <f>187053.74+65500</f>
        <v>252553.74</v>
      </c>
      <c r="S188" s="13">
        <v>247508.76</v>
      </c>
      <c r="T188" s="114">
        <v>280836</v>
      </c>
    </row>
    <row r="189" spans="1:20" x14ac:dyDescent="0.25">
      <c r="A189" s="185"/>
      <c r="B189" s="8"/>
      <c r="C189" s="10"/>
      <c r="D189" s="10"/>
      <c r="E189" s="6"/>
      <c r="F189" s="9"/>
      <c r="G189" s="9"/>
      <c r="H189" s="7"/>
      <c r="I189" s="7"/>
      <c r="J189" s="7"/>
      <c r="K189" s="44" t="s">
        <v>195</v>
      </c>
      <c r="L189" s="19" t="s">
        <v>199</v>
      </c>
      <c r="M189" s="19" t="s">
        <v>360</v>
      </c>
      <c r="N189" s="19" t="s">
        <v>170</v>
      </c>
      <c r="O189" s="13">
        <v>1000</v>
      </c>
      <c r="P189" s="13">
        <v>400</v>
      </c>
      <c r="Q189" s="13">
        <v>5000</v>
      </c>
      <c r="R189" s="13">
        <v>5000</v>
      </c>
      <c r="S189" s="13">
        <v>5000</v>
      </c>
      <c r="T189" s="114">
        <v>5000</v>
      </c>
    </row>
    <row r="190" spans="1:20" x14ac:dyDescent="0.25">
      <c r="A190" s="185"/>
      <c r="B190" s="8"/>
      <c r="C190" s="10"/>
      <c r="D190" s="10"/>
      <c r="E190" s="6"/>
      <c r="F190" s="9"/>
      <c r="G190" s="9"/>
      <c r="H190" s="7"/>
      <c r="I190" s="7"/>
      <c r="J190" s="7"/>
      <c r="K190" s="44" t="s">
        <v>195</v>
      </c>
      <c r="L190" s="19" t="s">
        <v>353</v>
      </c>
      <c r="M190" s="19" t="s">
        <v>354</v>
      </c>
      <c r="N190" s="19" t="s">
        <v>162</v>
      </c>
      <c r="O190" s="13">
        <v>3430000</v>
      </c>
      <c r="P190" s="13">
        <v>3429944</v>
      </c>
      <c r="Q190" s="13">
        <v>0</v>
      </c>
      <c r="R190" s="13">
        <v>0</v>
      </c>
      <c r="S190" s="13">
        <v>0</v>
      </c>
      <c r="T190" s="13">
        <v>0</v>
      </c>
    </row>
    <row r="191" spans="1:20" x14ac:dyDescent="0.25">
      <c r="A191" s="185"/>
      <c r="B191" s="8"/>
      <c r="C191" s="10"/>
      <c r="D191" s="10"/>
      <c r="E191" s="6"/>
      <c r="F191" s="9"/>
      <c r="G191" s="9"/>
      <c r="H191" s="7"/>
      <c r="I191" s="7"/>
      <c r="J191" s="7"/>
      <c r="K191" s="44" t="s">
        <v>195</v>
      </c>
      <c r="L191" s="19" t="s">
        <v>199</v>
      </c>
      <c r="M191" s="19" t="s">
        <v>361</v>
      </c>
      <c r="N191" s="19" t="s">
        <v>155</v>
      </c>
      <c r="O191" s="13">
        <v>3811.78</v>
      </c>
      <c r="P191" s="13">
        <v>3811.78</v>
      </c>
      <c r="Q191" s="13">
        <v>0</v>
      </c>
      <c r="R191" s="13">
        <v>0</v>
      </c>
      <c r="S191" s="13">
        <v>0</v>
      </c>
      <c r="T191" s="13">
        <v>0</v>
      </c>
    </row>
    <row r="192" spans="1:20" ht="105" customHeight="1" x14ac:dyDescent="0.25">
      <c r="A192" s="185" t="s">
        <v>21</v>
      </c>
      <c r="B192" s="8" t="s">
        <v>57</v>
      </c>
      <c r="C192" s="10" t="s">
        <v>125</v>
      </c>
      <c r="D192" s="10" t="s">
        <v>61</v>
      </c>
      <c r="E192" s="8" t="s">
        <v>126</v>
      </c>
      <c r="F192" s="10" t="s">
        <v>116</v>
      </c>
      <c r="G192" s="10" t="s">
        <v>127</v>
      </c>
      <c r="H192" s="7" t="s">
        <v>395</v>
      </c>
      <c r="I192" s="7" t="s">
        <v>438</v>
      </c>
      <c r="J192" s="7" t="s">
        <v>463</v>
      </c>
      <c r="K192" s="44"/>
      <c r="L192" s="19"/>
      <c r="M192" s="19"/>
      <c r="N192" s="19"/>
      <c r="O192" s="159">
        <f t="shared" ref="O192:T192" si="18">SUM(O193:O197)</f>
        <v>260000</v>
      </c>
      <c r="P192" s="159">
        <f t="shared" si="18"/>
        <v>250000</v>
      </c>
      <c r="Q192" s="159">
        <f t="shared" si="18"/>
        <v>708000</v>
      </c>
      <c r="R192" s="159">
        <f t="shared" si="18"/>
        <v>558000</v>
      </c>
      <c r="S192" s="159">
        <f t="shared" si="18"/>
        <v>358000</v>
      </c>
      <c r="T192" s="159">
        <f t="shared" si="18"/>
        <v>358000</v>
      </c>
    </row>
    <row r="193" spans="1:22" ht="41.25" x14ac:dyDescent="0.25">
      <c r="A193" s="185"/>
      <c r="B193" s="8" t="s">
        <v>534</v>
      </c>
      <c r="C193" s="10"/>
      <c r="D193" s="10" t="s">
        <v>535</v>
      </c>
      <c r="E193" s="8"/>
      <c r="F193" s="10"/>
      <c r="G193" s="10"/>
      <c r="H193" s="24" t="s">
        <v>439</v>
      </c>
      <c r="I193" s="36"/>
      <c r="J193" s="36" t="s">
        <v>406</v>
      </c>
      <c r="K193" s="44" t="s">
        <v>153</v>
      </c>
      <c r="L193" s="19" t="s">
        <v>18</v>
      </c>
      <c r="M193" s="19" t="s">
        <v>362</v>
      </c>
      <c r="N193" s="19" t="s">
        <v>162</v>
      </c>
      <c r="O193" s="13">
        <v>60000</v>
      </c>
      <c r="P193" s="13">
        <v>50000</v>
      </c>
      <c r="Q193" s="13">
        <v>110000</v>
      </c>
      <c r="R193" s="13">
        <f>60000+200000</f>
        <v>260000</v>
      </c>
      <c r="S193" s="13">
        <v>60000</v>
      </c>
      <c r="T193" s="114">
        <v>60000</v>
      </c>
    </row>
    <row r="194" spans="1:22" ht="49.5" x14ac:dyDescent="0.25">
      <c r="A194" s="185"/>
      <c r="B194" s="8"/>
      <c r="C194" s="10"/>
      <c r="D194" s="10"/>
      <c r="E194" s="8"/>
      <c r="F194" s="10"/>
      <c r="G194" s="10"/>
      <c r="H194" s="24" t="s">
        <v>440</v>
      </c>
      <c r="I194" s="36"/>
      <c r="J194" s="43" t="s">
        <v>476</v>
      </c>
      <c r="K194" s="44" t="s">
        <v>153</v>
      </c>
      <c r="L194" s="19" t="s">
        <v>18</v>
      </c>
      <c r="M194" s="19" t="s">
        <v>363</v>
      </c>
      <c r="N194" s="19" t="s">
        <v>170</v>
      </c>
      <c r="O194" s="13">
        <v>100000</v>
      </c>
      <c r="P194" s="13">
        <v>100000</v>
      </c>
      <c r="Q194" s="13">
        <v>0</v>
      </c>
      <c r="R194" s="13">
        <v>0</v>
      </c>
      <c r="S194" s="13">
        <v>0</v>
      </c>
      <c r="T194" s="114">
        <v>0</v>
      </c>
    </row>
    <row r="195" spans="1:22" x14ac:dyDescent="0.25">
      <c r="A195" s="185"/>
      <c r="B195" s="8"/>
      <c r="C195" s="10"/>
      <c r="D195" s="10"/>
      <c r="E195" s="8"/>
      <c r="F195" s="10"/>
      <c r="G195" s="10"/>
      <c r="H195" s="7"/>
      <c r="I195" s="7"/>
      <c r="J195" s="7"/>
      <c r="K195" s="44" t="s">
        <v>153</v>
      </c>
      <c r="L195" s="19" t="s">
        <v>18</v>
      </c>
      <c r="M195" s="19" t="s">
        <v>364</v>
      </c>
      <c r="N195" s="19" t="s">
        <v>162</v>
      </c>
      <c r="O195" s="13">
        <v>100000</v>
      </c>
      <c r="P195" s="13">
        <v>100000</v>
      </c>
      <c r="Q195" s="13">
        <v>198000</v>
      </c>
      <c r="R195" s="13">
        <v>198000</v>
      </c>
      <c r="S195" s="13">
        <v>198000</v>
      </c>
      <c r="T195" s="114">
        <v>198000</v>
      </c>
    </row>
    <row r="196" spans="1:22" x14ac:dyDescent="0.25">
      <c r="A196" s="185"/>
      <c r="B196" s="8"/>
      <c r="C196" s="10"/>
      <c r="D196" s="10"/>
      <c r="E196" s="8"/>
      <c r="F196" s="10"/>
      <c r="G196" s="10"/>
      <c r="H196" s="7"/>
      <c r="I196" s="7"/>
      <c r="J196" s="7"/>
      <c r="K196" s="44" t="s">
        <v>153</v>
      </c>
      <c r="L196" s="19" t="s">
        <v>18</v>
      </c>
      <c r="M196" s="19" t="s">
        <v>364</v>
      </c>
      <c r="N196" s="19" t="s">
        <v>170</v>
      </c>
      <c r="O196" s="13">
        <v>0</v>
      </c>
      <c r="P196" s="13">
        <v>0</v>
      </c>
      <c r="Q196" s="13">
        <v>300000</v>
      </c>
      <c r="R196" s="13">
        <v>0</v>
      </c>
      <c r="S196" s="13">
        <v>0</v>
      </c>
      <c r="T196" s="114">
        <v>0</v>
      </c>
    </row>
    <row r="197" spans="1:22" x14ac:dyDescent="0.25">
      <c r="A197" s="185"/>
      <c r="B197" s="8"/>
      <c r="C197" s="10"/>
      <c r="D197" s="10"/>
      <c r="E197" s="8"/>
      <c r="F197" s="10"/>
      <c r="G197" s="10"/>
      <c r="H197" s="7"/>
      <c r="I197" s="7"/>
      <c r="J197" s="7"/>
      <c r="K197" s="44" t="s">
        <v>153</v>
      </c>
      <c r="L197" s="19" t="s">
        <v>18</v>
      </c>
      <c r="M197" s="19" t="s">
        <v>362</v>
      </c>
      <c r="N197" s="19" t="s">
        <v>162</v>
      </c>
      <c r="O197" s="13">
        <v>0</v>
      </c>
      <c r="P197" s="13">
        <v>0</v>
      </c>
      <c r="Q197" s="13">
        <v>100000</v>
      </c>
      <c r="R197" s="13">
        <v>100000</v>
      </c>
      <c r="S197" s="13">
        <v>100000</v>
      </c>
      <c r="T197" s="114">
        <v>100000</v>
      </c>
    </row>
    <row r="198" spans="1:22" ht="49.5" x14ac:dyDescent="0.25">
      <c r="A198" s="185" t="s">
        <v>29</v>
      </c>
      <c r="B198" s="8" t="s">
        <v>57</v>
      </c>
      <c r="C198" s="10" t="s">
        <v>128</v>
      </c>
      <c r="D198" s="10" t="s">
        <v>61</v>
      </c>
      <c r="E198" s="8" t="s">
        <v>129</v>
      </c>
      <c r="F198" s="10" t="s">
        <v>93</v>
      </c>
      <c r="G198" s="10" t="s">
        <v>130</v>
      </c>
      <c r="H198" s="7" t="s">
        <v>395</v>
      </c>
      <c r="I198" s="7" t="s">
        <v>441</v>
      </c>
      <c r="J198" s="7" t="s">
        <v>463</v>
      </c>
      <c r="K198" s="44"/>
      <c r="L198" s="19"/>
      <c r="M198" s="19"/>
      <c r="N198" s="19"/>
      <c r="O198" s="159">
        <f>SUM(O199:O202)</f>
        <v>2026295</v>
      </c>
      <c r="P198" s="159">
        <f t="shared" ref="P198:T198" si="19">SUM(P199:P202)</f>
        <v>2007634.83</v>
      </c>
      <c r="Q198" s="159">
        <f t="shared" si="19"/>
        <v>1218438</v>
      </c>
      <c r="R198" s="159">
        <f t="shared" si="19"/>
        <v>770000</v>
      </c>
      <c r="S198" s="159">
        <f t="shared" si="19"/>
        <v>800000</v>
      </c>
      <c r="T198" s="159">
        <f t="shared" si="19"/>
        <v>800000</v>
      </c>
    </row>
    <row r="199" spans="1:22" ht="41.25" x14ac:dyDescent="0.25">
      <c r="A199" s="185"/>
      <c r="B199" s="8"/>
      <c r="C199" s="10"/>
      <c r="D199" s="10"/>
      <c r="E199" s="8"/>
      <c r="F199" s="10"/>
      <c r="G199" s="10"/>
      <c r="H199" s="139" t="s">
        <v>250</v>
      </c>
      <c r="I199" s="139" t="s">
        <v>442</v>
      </c>
      <c r="J199" s="36" t="s">
        <v>406</v>
      </c>
      <c r="K199" s="44" t="s">
        <v>180</v>
      </c>
      <c r="L199" s="19" t="s">
        <v>180</v>
      </c>
      <c r="M199" s="19" t="s">
        <v>365</v>
      </c>
      <c r="N199" s="19" t="s">
        <v>155</v>
      </c>
      <c r="O199" s="13">
        <v>0</v>
      </c>
      <c r="P199" s="13">
        <v>0</v>
      </c>
      <c r="Q199" s="13">
        <v>140000</v>
      </c>
      <c r="R199" s="13">
        <v>0</v>
      </c>
      <c r="S199" s="13">
        <v>0</v>
      </c>
      <c r="T199" s="114">
        <v>0</v>
      </c>
    </row>
    <row r="200" spans="1:22" x14ac:dyDescent="0.25">
      <c r="A200" s="185"/>
      <c r="B200" s="8"/>
      <c r="C200" s="10"/>
      <c r="D200" s="10"/>
      <c r="E200" s="8"/>
      <c r="F200" s="10"/>
      <c r="G200" s="10"/>
      <c r="H200" s="7"/>
      <c r="I200" s="7"/>
      <c r="J200" s="7"/>
      <c r="K200" s="44" t="s">
        <v>180</v>
      </c>
      <c r="L200" s="19" t="s">
        <v>180</v>
      </c>
      <c r="M200" s="19" t="s">
        <v>365</v>
      </c>
      <c r="N200" s="19" t="s">
        <v>162</v>
      </c>
      <c r="O200" s="13">
        <v>1760224.16</v>
      </c>
      <c r="P200" s="13">
        <v>1758157.59</v>
      </c>
      <c r="Q200" s="13">
        <v>778438</v>
      </c>
      <c r="R200" s="13">
        <v>500000</v>
      </c>
      <c r="S200" s="13">
        <v>500000</v>
      </c>
      <c r="T200" s="114">
        <v>500000</v>
      </c>
    </row>
    <row r="201" spans="1:22" x14ac:dyDescent="0.25">
      <c r="A201" s="185"/>
      <c r="B201" s="8"/>
      <c r="C201" s="10"/>
      <c r="D201" s="10"/>
      <c r="E201" s="8"/>
      <c r="F201" s="10"/>
      <c r="G201" s="10"/>
      <c r="H201" s="7"/>
      <c r="I201" s="7"/>
      <c r="J201" s="7"/>
      <c r="K201" s="44" t="s">
        <v>180</v>
      </c>
      <c r="L201" s="19" t="s">
        <v>180</v>
      </c>
      <c r="M201" s="19" t="s">
        <v>366</v>
      </c>
      <c r="N201" s="19" t="s">
        <v>155</v>
      </c>
      <c r="O201" s="13">
        <v>0</v>
      </c>
      <c r="P201" s="13">
        <v>0</v>
      </c>
      <c r="Q201" s="13">
        <v>50000</v>
      </c>
      <c r="R201" s="13">
        <v>50000</v>
      </c>
      <c r="S201" s="13">
        <v>50000</v>
      </c>
      <c r="T201" s="114">
        <v>50000</v>
      </c>
    </row>
    <row r="202" spans="1:22" x14ac:dyDescent="0.25">
      <c r="A202" s="185"/>
      <c r="B202" s="8"/>
      <c r="C202" s="10"/>
      <c r="D202" s="10"/>
      <c r="E202" s="8"/>
      <c r="F202" s="10"/>
      <c r="G202" s="10"/>
      <c r="H202" s="7"/>
      <c r="I202" s="7"/>
      <c r="J202" s="7"/>
      <c r="K202" s="44" t="s">
        <v>180</v>
      </c>
      <c r="L202" s="19" t="s">
        <v>180</v>
      </c>
      <c r="M202" s="19" t="s">
        <v>366</v>
      </c>
      <c r="N202" s="19" t="s">
        <v>162</v>
      </c>
      <c r="O202" s="13">
        <v>266070.84000000003</v>
      </c>
      <c r="P202" s="13">
        <v>249477.24</v>
      </c>
      <c r="Q202" s="13">
        <v>250000</v>
      </c>
      <c r="R202" s="13">
        <f>250000-30000</f>
        <v>220000</v>
      </c>
      <c r="S202" s="13">
        <v>250000</v>
      </c>
      <c r="T202" s="114">
        <v>250000</v>
      </c>
    </row>
    <row r="203" spans="1:22" ht="49.5" x14ac:dyDescent="0.25">
      <c r="A203" s="185" t="s">
        <v>30</v>
      </c>
      <c r="B203" s="8" t="s">
        <v>57</v>
      </c>
      <c r="C203" s="10" t="s">
        <v>443</v>
      </c>
      <c r="D203" s="10" t="s">
        <v>61</v>
      </c>
      <c r="E203" s="7"/>
      <c r="F203" s="7"/>
      <c r="G203" s="7"/>
      <c r="H203" s="7" t="s">
        <v>395</v>
      </c>
      <c r="I203" s="7" t="s">
        <v>444</v>
      </c>
      <c r="J203" s="7" t="s">
        <v>463</v>
      </c>
      <c r="K203" s="44"/>
      <c r="L203" s="19"/>
      <c r="M203" s="19"/>
      <c r="N203" s="19"/>
      <c r="O203" s="159">
        <f>SUM(O204:O205)</f>
        <v>1550000</v>
      </c>
      <c r="P203" s="159">
        <f t="shared" ref="P203:T203" si="20">SUM(P204:P205)</f>
        <v>1550000</v>
      </c>
      <c r="Q203" s="159">
        <f t="shared" si="20"/>
        <v>810000</v>
      </c>
      <c r="R203" s="159">
        <f t="shared" si="20"/>
        <v>3173837.29</v>
      </c>
      <c r="S203" s="159">
        <f t="shared" si="20"/>
        <v>1173836.29</v>
      </c>
      <c r="T203" s="159">
        <f t="shared" si="20"/>
        <v>1173836.29</v>
      </c>
    </row>
    <row r="204" spans="1:22" ht="41.25" x14ac:dyDescent="0.25">
      <c r="A204" s="185"/>
      <c r="B204" s="8"/>
      <c r="C204" s="10"/>
      <c r="D204" s="10"/>
      <c r="E204" s="7"/>
      <c r="F204" s="7"/>
      <c r="G204" s="7"/>
      <c r="H204" s="27" t="s">
        <v>341</v>
      </c>
      <c r="I204" s="139" t="s">
        <v>234</v>
      </c>
      <c r="J204" s="36" t="s">
        <v>406</v>
      </c>
      <c r="K204" s="73" t="s">
        <v>152</v>
      </c>
      <c r="L204" s="74" t="s">
        <v>160</v>
      </c>
      <c r="M204" s="74" t="s">
        <v>342</v>
      </c>
      <c r="N204" s="74" t="s">
        <v>162</v>
      </c>
      <c r="O204" s="51">
        <v>750000</v>
      </c>
      <c r="P204" s="51">
        <f>O204</f>
        <v>750000</v>
      </c>
      <c r="Q204" s="51">
        <v>490000</v>
      </c>
      <c r="R204" s="51">
        <v>600000</v>
      </c>
      <c r="S204" s="51">
        <v>600000</v>
      </c>
      <c r="T204" s="109">
        <v>600000</v>
      </c>
    </row>
    <row r="205" spans="1:22" x14ac:dyDescent="0.25">
      <c r="A205" s="185"/>
      <c r="B205" s="8"/>
      <c r="C205" s="10"/>
      <c r="D205" s="10"/>
      <c r="E205" s="7"/>
      <c r="F205" s="7"/>
      <c r="G205" s="7"/>
      <c r="H205" s="27"/>
      <c r="I205" s="27"/>
      <c r="J205" s="27"/>
      <c r="K205" s="52" t="s">
        <v>153</v>
      </c>
      <c r="L205" s="52" t="s">
        <v>18</v>
      </c>
      <c r="M205" s="52" t="s">
        <v>343</v>
      </c>
      <c r="N205" s="52" t="s">
        <v>162</v>
      </c>
      <c r="O205" s="53">
        <v>800000</v>
      </c>
      <c r="P205" s="51">
        <f>O205</f>
        <v>800000</v>
      </c>
      <c r="Q205" s="53">
        <v>320000</v>
      </c>
      <c r="R205" s="53">
        <f>573837.29+2000000</f>
        <v>2573837.29</v>
      </c>
      <c r="S205" s="53">
        <v>573836.29</v>
      </c>
      <c r="T205" s="54">
        <v>573836.29</v>
      </c>
    </row>
    <row r="206" spans="1:22" s="2" customFormat="1" ht="14.25" x14ac:dyDescent="0.2">
      <c r="A206" s="187" t="s">
        <v>31</v>
      </c>
      <c r="B206" s="187"/>
      <c r="C206" s="187"/>
      <c r="D206" s="187"/>
      <c r="E206" s="187"/>
      <c r="F206" s="187"/>
      <c r="G206" s="187"/>
      <c r="H206" s="187"/>
      <c r="I206" s="187"/>
      <c r="J206" s="187"/>
      <c r="K206" s="187"/>
      <c r="L206" s="187"/>
      <c r="M206" s="187"/>
      <c r="N206" s="187"/>
      <c r="O206" s="98">
        <f t="shared" ref="O206:T206" si="21">O207+O262+O279+O283+O285+O286+O290</f>
        <v>213032028.16000003</v>
      </c>
      <c r="P206" s="98">
        <f t="shared" si="21"/>
        <v>209784791.75</v>
      </c>
      <c r="Q206" s="98">
        <f t="shared" si="21"/>
        <v>260916972.66</v>
      </c>
      <c r="R206" s="98">
        <f t="shared" si="21"/>
        <v>319247676.13999999</v>
      </c>
      <c r="S206" s="98">
        <f t="shared" si="21"/>
        <v>296449168.39999998</v>
      </c>
      <c r="T206" s="98">
        <f t="shared" si="21"/>
        <v>272536027.47000003</v>
      </c>
      <c r="U206" s="121"/>
      <c r="V206" s="121"/>
    </row>
    <row r="207" spans="1:22" ht="48.75" customHeight="1" x14ac:dyDescent="0.25">
      <c r="A207" s="185" t="s">
        <v>32</v>
      </c>
      <c r="B207" s="6" t="s">
        <v>57</v>
      </c>
      <c r="C207" s="9" t="s">
        <v>131</v>
      </c>
      <c r="D207" s="9" t="s">
        <v>132</v>
      </c>
      <c r="E207" s="6" t="s">
        <v>397</v>
      </c>
      <c r="F207" s="9" t="s">
        <v>399</v>
      </c>
      <c r="G207" s="9" t="s">
        <v>398</v>
      </c>
      <c r="H207" s="7" t="s">
        <v>151</v>
      </c>
      <c r="I207" s="7"/>
      <c r="J207" s="7" t="s">
        <v>477</v>
      </c>
      <c r="K207" s="44"/>
      <c r="L207" s="19"/>
      <c r="M207" s="19"/>
      <c r="N207" s="19"/>
      <c r="O207" s="159">
        <f t="shared" ref="O207:T207" si="22">SUM(O208:O261)</f>
        <v>98046830.930000007</v>
      </c>
      <c r="P207" s="159">
        <f t="shared" si="22"/>
        <v>96031169.38000001</v>
      </c>
      <c r="Q207" s="159">
        <f t="shared" si="22"/>
        <v>106134250.76000001</v>
      </c>
      <c r="R207" s="159">
        <f t="shared" si="22"/>
        <v>187311636.59999999</v>
      </c>
      <c r="S207" s="159">
        <f t="shared" si="22"/>
        <v>174343551.56</v>
      </c>
      <c r="T207" s="159">
        <f t="shared" si="22"/>
        <v>150459410.63</v>
      </c>
    </row>
    <row r="208" spans="1:22" ht="49.5" x14ac:dyDescent="0.25">
      <c r="A208" s="185"/>
      <c r="B208" s="8" t="s">
        <v>400</v>
      </c>
      <c r="C208" s="10" t="s">
        <v>58</v>
      </c>
      <c r="D208" s="10" t="s">
        <v>59</v>
      </c>
      <c r="E208" s="8"/>
      <c r="F208" s="10"/>
      <c r="G208" s="10"/>
      <c r="H208" s="7" t="s">
        <v>506</v>
      </c>
      <c r="I208" s="7"/>
      <c r="J208" s="7" t="s">
        <v>478</v>
      </c>
      <c r="K208" s="44" t="s">
        <v>152</v>
      </c>
      <c r="L208" s="19" t="s">
        <v>153</v>
      </c>
      <c r="M208" s="19" t="s">
        <v>174</v>
      </c>
      <c r="N208" s="19" t="s">
        <v>170</v>
      </c>
      <c r="O208" s="153">
        <v>0</v>
      </c>
      <c r="P208" s="153">
        <v>0</v>
      </c>
      <c r="Q208" s="153">
        <v>677078</v>
      </c>
      <c r="R208" s="153">
        <f>500000-500000</f>
        <v>0</v>
      </c>
      <c r="S208" s="153">
        <v>0</v>
      </c>
      <c r="T208" s="154">
        <v>0</v>
      </c>
    </row>
    <row r="209" spans="1:21" ht="45" customHeight="1" x14ac:dyDescent="0.25">
      <c r="A209" s="185"/>
      <c r="B209" s="8" t="s">
        <v>538</v>
      </c>
      <c r="C209" s="10" t="s">
        <v>58</v>
      </c>
      <c r="D209" s="10" t="s">
        <v>539</v>
      </c>
      <c r="E209" s="8"/>
      <c r="F209" s="10"/>
      <c r="G209" s="10"/>
      <c r="H209" s="7" t="s">
        <v>173</v>
      </c>
      <c r="I209" s="7"/>
      <c r="J209" s="7" t="s">
        <v>479</v>
      </c>
      <c r="K209" s="44" t="s">
        <v>152</v>
      </c>
      <c r="L209" s="19" t="s">
        <v>175</v>
      </c>
      <c r="M209" s="19" t="s">
        <v>176</v>
      </c>
      <c r="N209" s="19" t="s">
        <v>170</v>
      </c>
      <c r="O209" s="153">
        <v>1045061.08</v>
      </c>
      <c r="P209" s="153">
        <v>0</v>
      </c>
      <c r="Q209" s="153">
        <v>3000000</v>
      </c>
      <c r="R209" s="153">
        <v>3000000</v>
      </c>
      <c r="S209" s="153">
        <f>1500000-500000</f>
        <v>1000000</v>
      </c>
      <c r="T209" s="154">
        <f>1500000-500000</f>
        <v>1000000</v>
      </c>
    </row>
    <row r="210" spans="1:21" ht="49.5" x14ac:dyDescent="0.25">
      <c r="A210" s="185"/>
      <c r="B210" s="6" t="s">
        <v>84</v>
      </c>
      <c r="C210" s="9" t="s">
        <v>58</v>
      </c>
      <c r="D210" s="9" t="s">
        <v>85</v>
      </c>
      <c r="E210" s="6"/>
      <c r="F210" s="9" t="s">
        <v>107</v>
      </c>
      <c r="G210" s="9" t="s">
        <v>107</v>
      </c>
      <c r="H210" s="7" t="s">
        <v>480</v>
      </c>
      <c r="I210" s="7"/>
      <c r="J210" s="7" t="s">
        <v>481</v>
      </c>
      <c r="K210" s="44" t="s">
        <v>152</v>
      </c>
      <c r="L210" s="19" t="s">
        <v>160</v>
      </c>
      <c r="M210" s="19" t="s">
        <v>177</v>
      </c>
      <c r="N210" s="19" t="s">
        <v>170</v>
      </c>
      <c r="O210" s="153">
        <v>92092.91</v>
      </c>
      <c r="P210" s="153">
        <v>0</v>
      </c>
      <c r="Q210" s="153">
        <v>489844.21</v>
      </c>
      <c r="R210" s="153">
        <v>650000</v>
      </c>
      <c r="S210" s="153">
        <v>400000</v>
      </c>
      <c r="T210" s="154">
        <v>400000</v>
      </c>
    </row>
    <row r="211" spans="1:21" ht="32.25" customHeight="1" x14ac:dyDescent="0.25">
      <c r="A211" s="185"/>
      <c r="B211" s="6" t="s">
        <v>69</v>
      </c>
      <c r="C211" s="9" t="s">
        <v>70</v>
      </c>
      <c r="D211" s="9" t="s">
        <v>71</v>
      </c>
      <c r="E211" s="6"/>
      <c r="F211" s="9" t="s">
        <v>107</v>
      </c>
      <c r="G211" s="9" t="s">
        <v>107</v>
      </c>
      <c r="H211" s="136" t="s">
        <v>280</v>
      </c>
      <c r="I211" s="7"/>
      <c r="J211" s="7" t="s">
        <v>482</v>
      </c>
      <c r="K211" s="44" t="s">
        <v>152</v>
      </c>
      <c r="L211" s="19" t="s">
        <v>160</v>
      </c>
      <c r="M211" s="19" t="s">
        <v>179</v>
      </c>
      <c r="N211" s="19" t="s">
        <v>170</v>
      </c>
      <c r="O211" s="153">
        <v>0</v>
      </c>
      <c r="P211" s="153">
        <v>0</v>
      </c>
      <c r="Q211" s="153">
        <v>0</v>
      </c>
      <c r="R211" s="153">
        <f>81983401.82-12800000</f>
        <v>69183401.819999993</v>
      </c>
      <c r="S211" s="153">
        <v>44278140.93</v>
      </c>
      <c r="T211" s="154">
        <v>100000</v>
      </c>
    </row>
    <row r="212" spans="1:21" ht="33" x14ac:dyDescent="0.25">
      <c r="A212" s="185"/>
      <c r="B212" s="6" t="s">
        <v>67</v>
      </c>
      <c r="C212" s="9" t="s">
        <v>133</v>
      </c>
      <c r="D212" s="9" t="s">
        <v>68</v>
      </c>
      <c r="E212" s="6"/>
      <c r="F212" s="9" t="s">
        <v>107</v>
      </c>
      <c r="G212" s="9" t="s">
        <v>107</v>
      </c>
      <c r="H212" s="136" t="s">
        <v>281</v>
      </c>
      <c r="I212" s="7"/>
      <c r="J212" s="7" t="s">
        <v>462</v>
      </c>
      <c r="K212" s="44" t="s">
        <v>160</v>
      </c>
      <c r="L212" s="19" t="s">
        <v>152</v>
      </c>
      <c r="M212" s="19" t="s">
        <v>551</v>
      </c>
      <c r="N212" s="19" t="s">
        <v>178</v>
      </c>
      <c r="O212" s="153">
        <v>0</v>
      </c>
      <c r="P212" s="153">
        <v>0</v>
      </c>
      <c r="Q212" s="153">
        <v>0</v>
      </c>
      <c r="R212" s="153">
        <f>20930000-3070393-3924000</f>
        <v>13935607</v>
      </c>
      <c r="S212" s="153">
        <f>29160000</f>
        <v>29160000</v>
      </c>
      <c r="T212" s="154">
        <f>48902000</f>
        <v>48902000</v>
      </c>
    </row>
    <row r="213" spans="1:21" ht="74.25" customHeight="1" x14ac:dyDescent="0.25">
      <c r="A213" s="185"/>
      <c r="B213" s="6"/>
      <c r="C213" s="9"/>
      <c r="D213" s="9"/>
      <c r="E213" s="6"/>
      <c r="F213" s="9"/>
      <c r="G213" s="9"/>
      <c r="H213" s="136" t="s">
        <v>487</v>
      </c>
      <c r="I213" s="7"/>
      <c r="J213" s="7" t="s">
        <v>483</v>
      </c>
      <c r="K213" s="44" t="s">
        <v>152</v>
      </c>
      <c r="L213" s="19" t="s">
        <v>186</v>
      </c>
      <c r="M213" s="19" t="s">
        <v>272</v>
      </c>
      <c r="N213" s="19" t="s">
        <v>155</v>
      </c>
      <c r="O213" s="153">
        <v>2286029.9300000002</v>
      </c>
      <c r="P213" s="153">
        <v>2268677.9700000002</v>
      </c>
      <c r="Q213" s="153">
        <v>2404595</v>
      </c>
      <c r="R213" s="153">
        <f>2200261.45+11000</f>
        <v>2211261.4500000002</v>
      </c>
      <c r="S213" s="153">
        <f>2200261.45+11000</f>
        <v>2211261.4500000002</v>
      </c>
      <c r="T213" s="154">
        <f>2200261.45+11000</f>
        <v>2211261.4500000002</v>
      </c>
      <c r="U213" s="115"/>
    </row>
    <row r="214" spans="1:21" ht="41.25" x14ac:dyDescent="0.25">
      <c r="A214" s="185"/>
      <c r="B214" s="6"/>
      <c r="C214" s="9"/>
      <c r="D214" s="9"/>
      <c r="E214" s="6"/>
      <c r="F214" s="9"/>
      <c r="G214" s="9"/>
      <c r="H214" s="136" t="s">
        <v>484</v>
      </c>
      <c r="I214" s="7"/>
      <c r="J214" s="7" t="s">
        <v>485</v>
      </c>
      <c r="K214" s="44" t="s">
        <v>152</v>
      </c>
      <c r="L214" s="19" t="s">
        <v>186</v>
      </c>
      <c r="M214" s="19" t="s">
        <v>273</v>
      </c>
      <c r="N214" s="19" t="s">
        <v>155</v>
      </c>
      <c r="O214" s="153">
        <v>420350</v>
      </c>
      <c r="P214" s="153">
        <v>418787.56</v>
      </c>
      <c r="Q214" s="153">
        <v>507500</v>
      </c>
      <c r="R214" s="153">
        <f>656363-22000</f>
        <v>634363</v>
      </c>
      <c r="S214" s="153">
        <f>656363-22000</f>
        <v>634363</v>
      </c>
      <c r="T214" s="154">
        <f>656363-22000</f>
        <v>634363</v>
      </c>
      <c r="U214" s="115"/>
    </row>
    <row r="215" spans="1:21" ht="42" customHeight="1" x14ac:dyDescent="0.25">
      <c r="A215" s="185"/>
      <c r="B215" s="6"/>
      <c r="C215" s="9"/>
      <c r="D215" s="9"/>
      <c r="E215" s="6"/>
      <c r="F215" s="9"/>
      <c r="G215" s="9"/>
      <c r="H215" s="7" t="s">
        <v>171</v>
      </c>
      <c r="I215" s="7" t="s">
        <v>445</v>
      </c>
      <c r="J215" s="36" t="s">
        <v>406</v>
      </c>
      <c r="K215" s="44" t="s">
        <v>152</v>
      </c>
      <c r="L215" s="19" t="s">
        <v>186</v>
      </c>
      <c r="M215" s="19" t="s">
        <v>273</v>
      </c>
      <c r="N215" s="19" t="s">
        <v>162</v>
      </c>
      <c r="O215" s="153">
        <v>80000</v>
      </c>
      <c r="P215" s="153">
        <v>79898</v>
      </c>
      <c r="Q215" s="153">
        <v>50750</v>
      </c>
      <c r="R215" s="153">
        <v>50000</v>
      </c>
      <c r="S215" s="153">
        <v>70000</v>
      </c>
      <c r="T215" s="154">
        <v>70000</v>
      </c>
    </row>
    <row r="216" spans="1:21" ht="41.25" x14ac:dyDescent="0.25">
      <c r="A216" s="185"/>
      <c r="B216" s="6"/>
      <c r="C216" s="9"/>
      <c r="D216" s="9"/>
      <c r="E216" s="6"/>
      <c r="F216" s="9"/>
      <c r="G216" s="9"/>
      <c r="H216" s="139" t="s">
        <v>250</v>
      </c>
      <c r="I216" s="139" t="s">
        <v>268</v>
      </c>
      <c r="J216" s="36" t="s">
        <v>406</v>
      </c>
      <c r="K216" s="44" t="s">
        <v>152</v>
      </c>
      <c r="L216" s="19" t="s">
        <v>186</v>
      </c>
      <c r="M216" s="19" t="s">
        <v>274</v>
      </c>
      <c r="N216" s="19" t="s">
        <v>155</v>
      </c>
      <c r="O216" s="153">
        <v>0</v>
      </c>
      <c r="P216" s="153">
        <v>0</v>
      </c>
      <c r="Q216" s="153">
        <v>0</v>
      </c>
      <c r="R216" s="153">
        <v>60000</v>
      </c>
      <c r="S216" s="153">
        <v>0</v>
      </c>
      <c r="T216" s="154">
        <v>60000</v>
      </c>
    </row>
    <row r="217" spans="1:21" ht="57.75" x14ac:dyDescent="0.25">
      <c r="A217" s="185"/>
      <c r="B217" s="6"/>
      <c r="C217" s="9"/>
      <c r="D217" s="9"/>
      <c r="E217" s="6"/>
      <c r="F217" s="9"/>
      <c r="G217" s="9"/>
      <c r="H217" s="24" t="s">
        <v>446</v>
      </c>
      <c r="I217" s="22"/>
      <c r="J217" s="7" t="s">
        <v>486</v>
      </c>
      <c r="K217" s="44" t="s">
        <v>152</v>
      </c>
      <c r="L217" s="19" t="s">
        <v>195</v>
      </c>
      <c r="M217" s="19" t="s">
        <v>275</v>
      </c>
      <c r="N217" s="19" t="s">
        <v>155</v>
      </c>
      <c r="O217" s="153">
        <v>2009169.99</v>
      </c>
      <c r="P217" s="153">
        <v>1964584.6</v>
      </c>
      <c r="Q217" s="153">
        <v>1682749</v>
      </c>
      <c r="R217" s="153">
        <f>1584082.94+11000</f>
        <v>1595082.94</v>
      </c>
      <c r="S217" s="153">
        <f>1584082.94+11000</f>
        <v>1595082.94</v>
      </c>
      <c r="T217" s="154">
        <f>1584082.94+11000</f>
        <v>1595082.94</v>
      </c>
    </row>
    <row r="218" spans="1:21" x14ac:dyDescent="0.25">
      <c r="A218" s="185"/>
      <c r="B218" s="6"/>
      <c r="C218" s="9"/>
      <c r="D218" s="9"/>
      <c r="E218" s="6"/>
      <c r="F218" s="9"/>
      <c r="G218" s="9"/>
      <c r="H218" s="45"/>
      <c r="I218" s="22"/>
      <c r="J218" s="7"/>
      <c r="K218" s="44" t="s">
        <v>152</v>
      </c>
      <c r="L218" s="19" t="s">
        <v>195</v>
      </c>
      <c r="M218" s="19" t="s">
        <v>273</v>
      </c>
      <c r="N218" s="19" t="s">
        <v>155</v>
      </c>
      <c r="O218" s="153">
        <v>38720</v>
      </c>
      <c r="P218" s="153">
        <v>38720</v>
      </c>
      <c r="Q218" s="153">
        <v>0</v>
      </c>
      <c r="R218" s="153">
        <v>0</v>
      </c>
      <c r="S218" s="153">
        <v>0</v>
      </c>
      <c r="T218" s="154">
        <v>0</v>
      </c>
    </row>
    <row r="219" spans="1:21" x14ac:dyDescent="0.25">
      <c r="A219" s="185"/>
      <c r="B219" s="6"/>
      <c r="C219" s="9"/>
      <c r="D219" s="9"/>
      <c r="E219" s="6"/>
      <c r="F219" s="9"/>
      <c r="G219" s="9"/>
      <c r="H219" s="7"/>
      <c r="I219" s="7"/>
      <c r="J219" s="7"/>
      <c r="K219" s="44" t="s">
        <v>152</v>
      </c>
      <c r="L219" s="19" t="s">
        <v>195</v>
      </c>
      <c r="M219" s="19" t="s">
        <v>276</v>
      </c>
      <c r="N219" s="19" t="s">
        <v>155</v>
      </c>
      <c r="O219" s="153">
        <v>204000</v>
      </c>
      <c r="P219" s="153">
        <v>203987.82</v>
      </c>
      <c r="Q219" s="153">
        <v>171800</v>
      </c>
      <c r="R219" s="153">
        <v>111051</v>
      </c>
      <c r="S219" s="153">
        <v>153951</v>
      </c>
      <c r="T219" s="154">
        <v>113951</v>
      </c>
    </row>
    <row r="220" spans="1:21" x14ac:dyDescent="0.25">
      <c r="A220" s="185"/>
      <c r="B220" s="6"/>
      <c r="C220" s="9"/>
      <c r="D220" s="9"/>
      <c r="E220" s="6"/>
      <c r="F220" s="9"/>
      <c r="G220" s="9"/>
      <c r="H220" s="7"/>
      <c r="I220" s="7"/>
      <c r="J220" s="7"/>
      <c r="K220" s="44" t="s">
        <v>152</v>
      </c>
      <c r="L220" s="19" t="s">
        <v>195</v>
      </c>
      <c r="M220" s="19" t="s">
        <v>276</v>
      </c>
      <c r="N220" s="19" t="s">
        <v>162</v>
      </c>
      <c r="O220" s="153">
        <v>622930</v>
      </c>
      <c r="P220" s="153">
        <v>620490.38</v>
      </c>
      <c r="Q220" s="153">
        <v>100000</v>
      </c>
      <c r="R220" s="153">
        <v>100000</v>
      </c>
      <c r="S220" s="153">
        <v>120000</v>
      </c>
      <c r="T220" s="154">
        <v>100000</v>
      </c>
    </row>
    <row r="221" spans="1:21" x14ac:dyDescent="0.25">
      <c r="A221" s="185"/>
      <c r="B221" s="6"/>
      <c r="C221" s="9"/>
      <c r="D221" s="9"/>
      <c r="E221" s="6"/>
      <c r="F221" s="9"/>
      <c r="G221" s="9"/>
      <c r="H221" s="7"/>
      <c r="I221" s="7"/>
      <c r="J221" s="7"/>
      <c r="K221" s="44" t="s">
        <v>152</v>
      </c>
      <c r="L221" s="19" t="s">
        <v>195</v>
      </c>
      <c r="M221" s="19" t="s">
        <v>277</v>
      </c>
      <c r="N221" s="19" t="s">
        <v>155</v>
      </c>
      <c r="O221" s="153">
        <v>3048490</v>
      </c>
      <c r="P221" s="153">
        <v>3001365.59</v>
      </c>
      <c r="Q221" s="153">
        <v>3537669</v>
      </c>
      <c r="R221" s="153">
        <f>3537667.61+1764649.01</f>
        <v>5302316.62</v>
      </c>
      <c r="S221" s="153">
        <f>3537667.61+1764649.01</f>
        <v>5302316.62</v>
      </c>
      <c r="T221" s="154">
        <f>3537667.61+1764649.01</f>
        <v>5302316.62</v>
      </c>
    </row>
    <row r="222" spans="1:21" x14ac:dyDescent="0.25">
      <c r="A222" s="185"/>
      <c r="B222" s="6"/>
      <c r="C222" s="9"/>
      <c r="D222" s="9"/>
      <c r="E222" s="6"/>
      <c r="F222" s="9"/>
      <c r="G222" s="9"/>
      <c r="H222" s="7"/>
      <c r="I222" s="7"/>
      <c r="J222" s="7"/>
      <c r="K222" s="44" t="s">
        <v>152</v>
      </c>
      <c r="L222" s="19" t="s">
        <v>195</v>
      </c>
      <c r="M222" s="19" t="s">
        <v>278</v>
      </c>
      <c r="N222" s="19" t="s">
        <v>162</v>
      </c>
      <c r="O222" s="153">
        <v>80097</v>
      </c>
      <c r="P222" s="153">
        <v>78392.2</v>
      </c>
      <c r="Q222" s="153">
        <v>0</v>
      </c>
      <c r="R222" s="153">
        <v>0</v>
      </c>
      <c r="S222" s="153">
        <v>0</v>
      </c>
      <c r="T222" s="154">
        <v>0</v>
      </c>
    </row>
    <row r="223" spans="1:21" x14ac:dyDescent="0.25">
      <c r="A223" s="185"/>
      <c r="B223" s="6"/>
      <c r="C223" s="9"/>
      <c r="D223" s="9"/>
      <c r="E223" s="6"/>
      <c r="F223" s="9"/>
      <c r="G223" s="9"/>
      <c r="H223" s="7"/>
      <c r="I223" s="7"/>
      <c r="J223" s="7"/>
      <c r="K223" s="44" t="s">
        <v>152</v>
      </c>
      <c r="L223" s="19" t="s">
        <v>195</v>
      </c>
      <c r="M223" s="19" t="s">
        <v>278</v>
      </c>
      <c r="N223" s="19" t="s">
        <v>170</v>
      </c>
      <c r="O223" s="153">
        <v>1000</v>
      </c>
      <c r="P223" s="153">
        <v>200</v>
      </c>
      <c r="Q223" s="153">
        <v>0</v>
      </c>
      <c r="R223" s="153">
        <v>0</v>
      </c>
      <c r="S223" s="153">
        <v>0</v>
      </c>
      <c r="T223" s="154">
        <v>0</v>
      </c>
    </row>
    <row r="224" spans="1:21" x14ac:dyDescent="0.25">
      <c r="A224" s="185"/>
      <c r="B224" s="6"/>
      <c r="C224" s="9"/>
      <c r="D224" s="9"/>
      <c r="E224" s="6"/>
      <c r="F224" s="9"/>
      <c r="G224" s="9"/>
      <c r="H224" s="7"/>
      <c r="I224" s="7"/>
      <c r="J224" s="7"/>
      <c r="K224" s="44" t="s">
        <v>152</v>
      </c>
      <c r="L224" s="19" t="s">
        <v>195</v>
      </c>
      <c r="M224" s="19" t="s">
        <v>274</v>
      </c>
      <c r="N224" s="19" t="s">
        <v>155</v>
      </c>
      <c r="O224" s="153">
        <v>74222.539999999994</v>
      </c>
      <c r="P224" s="153">
        <v>74222.539999999994</v>
      </c>
      <c r="Q224" s="153">
        <v>0</v>
      </c>
      <c r="R224" s="153">
        <v>0</v>
      </c>
      <c r="S224" s="153">
        <v>0</v>
      </c>
      <c r="T224" s="154">
        <v>0</v>
      </c>
    </row>
    <row r="225" spans="1:21" x14ac:dyDescent="0.25">
      <c r="A225" s="185"/>
      <c r="B225" s="6"/>
      <c r="C225" s="9"/>
      <c r="D225" s="9"/>
      <c r="E225" s="6"/>
      <c r="F225" s="9"/>
      <c r="G225" s="9"/>
      <c r="H225" s="7"/>
      <c r="I225" s="7"/>
      <c r="J225" s="7"/>
      <c r="K225" s="44" t="s">
        <v>152</v>
      </c>
      <c r="L225" s="19" t="s">
        <v>153</v>
      </c>
      <c r="M225" s="19" t="s">
        <v>344</v>
      </c>
      <c r="N225" s="19" t="s">
        <v>155</v>
      </c>
      <c r="O225" s="153">
        <v>8004467.2699999996</v>
      </c>
      <c r="P225" s="153">
        <v>8004467.2699999996</v>
      </c>
      <c r="Q225" s="153">
        <v>8343382</v>
      </c>
      <c r="R225" s="153">
        <v>8319858.71</v>
      </c>
      <c r="S225" s="153">
        <v>8319858.71</v>
      </c>
      <c r="T225" s="154">
        <v>8319858.71</v>
      </c>
    </row>
    <row r="226" spans="1:21" x14ac:dyDescent="0.25">
      <c r="A226" s="185"/>
      <c r="B226" s="6"/>
      <c r="C226" s="9"/>
      <c r="D226" s="9"/>
      <c r="E226" s="6"/>
      <c r="F226" s="9"/>
      <c r="G226" s="9"/>
      <c r="H226" s="7"/>
      <c r="I226" s="7"/>
      <c r="J226" s="7"/>
      <c r="K226" s="44" t="s">
        <v>152</v>
      </c>
      <c r="L226" s="19" t="s">
        <v>153</v>
      </c>
      <c r="M226" s="19" t="s">
        <v>367</v>
      </c>
      <c r="N226" s="19" t="s">
        <v>155</v>
      </c>
      <c r="O226" s="13">
        <v>2320583</v>
      </c>
      <c r="P226" s="13">
        <v>2320337.63</v>
      </c>
      <c r="Q226" s="13">
        <v>1998264</v>
      </c>
      <c r="R226" s="13">
        <v>2002317.04</v>
      </c>
      <c r="S226" s="13">
        <v>2002317.04</v>
      </c>
      <c r="T226" s="114">
        <v>2002317.04</v>
      </c>
    </row>
    <row r="227" spans="1:21" x14ac:dyDescent="0.25">
      <c r="A227" s="185"/>
      <c r="B227" s="6"/>
      <c r="C227" s="9"/>
      <c r="D227" s="9"/>
      <c r="E227" s="6"/>
      <c r="F227" s="9"/>
      <c r="G227" s="9"/>
      <c r="H227" s="7"/>
      <c r="I227" s="7"/>
      <c r="J227" s="7"/>
      <c r="K227" s="44" t="s">
        <v>152</v>
      </c>
      <c r="L227" s="19" t="s">
        <v>153</v>
      </c>
      <c r="M227" s="71" t="s">
        <v>217</v>
      </c>
      <c r="N227" s="71" t="s">
        <v>155</v>
      </c>
      <c r="O227" s="130">
        <f>11265765.04+49104840.21</f>
        <v>60370605.25</v>
      </c>
      <c r="P227" s="130">
        <f>11253590.11+48784443.39</f>
        <v>60038033.5</v>
      </c>
      <c r="Q227" s="130">
        <f>11741404+49265702.6</f>
        <v>61007106.600000001</v>
      </c>
      <c r="R227" s="130">
        <f>12296775.4+50444792.6+581873.26-455545.2-1124312.04</f>
        <v>61743584.019999996</v>
      </c>
      <c r="S227" s="130">
        <f>12296775.4+50826861.96-496958.4-1124312.09</f>
        <v>61502366.869999997</v>
      </c>
      <c r="T227" s="130">
        <f>12296775.4+50826861.96-496958.4-1124312.09</f>
        <v>61502366.869999997</v>
      </c>
    </row>
    <row r="228" spans="1:21" x14ac:dyDescent="0.25">
      <c r="A228" s="185"/>
      <c r="B228" s="6"/>
      <c r="C228" s="9"/>
      <c r="D228" s="9"/>
      <c r="E228" s="6"/>
      <c r="F228" s="9"/>
      <c r="G228" s="9"/>
      <c r="H228" s="7"/>
      <c r="I228" s="7"/>
      <c r="J228" s="7"/>
      <c r="K228" s="44" t="s">
        <v>152</v>
      </c>
      <c r="L228" s="19" t="s">
        <v>244</v>
      </c>
      <c r="M228" s="19" t="s">
        <v>348</v>
      </c>
      <c r="N228" s="19" t="s">
        <v>155</v>
      </c>
      <c r="O228" s="13">
        <v>1359906</v>
      </c>
      <c r="P228" s="13">
        <v>1359018.02</v>
      </c>
      <c r="Q228" s="13">
        <v>1418739</v>
      </c>
      <c r="R228" s="13">
        <v>1380666</v>
      </c>
      <c r="S228" s="13">
        <v>1418739</v>
      </c>
      <c r="T228" s="114">
        <v>1418739</v>
      </c>
    </row>
    <row r="229" spans="1:21" x14ac:dyDescent="0.25">
      <c r="A229" s="185"/>
      <c r="B229" s="6"/>
      <c r="C229" s="9"/>
      <c r="D229" s="9"/>
      <c r="E229" s="6"/>
      <c r="F229" s="9"/>
      <c r="G229" s="9"/>
      <c r="H229" s="7"/>
      <c r="I229" s="7"/>
      <c r="J229" s="7"/>
      <c r="K229" s="44" t="s">
        <v>152</v>
      </c>
      <c r="L229" s="19" t="s">
        <v>244</v>
      </c>
      <c r="M229" s="19" t="s">
        <v>349</v>
      </c>
      <c r="N229" s="19" t="s">
        <v>155</v>
      </c>
      <c r="O229" s="13">
        <v>1145971</v>
      </c>
      <c r="P229" s="13">
        <v>1145839.95</v>
      </c>
      <c r="Q229" s="13">
        <v>1122616</v>
      </c>
      <c r="R229" s="13">
        <v>1122616</v>
      </c>
      <c r="S229" s="13">
        <v>1122616</v>
      </c>
      <c r="T229" s="114">
        <v>1122616</v>
      </c>
    </row>
    <row r="230" spans="1:21" x14ac:dyDescent="0.25">
      <c r="A230" s="185"/>
      <c r="B230" s="6"/>
      <c r="C230" s="9"/>
      <c r="D230" s="9"/>
      <c r="E230" s="6"/>
      <c r="F230" s="9"/>
      <c r="G230" s="9"/>
      <c r="H230" s="7"/>
      <c r="I230" s="7"/>
      <c r="J230" s="7"/>
      <c r="K230" s="44" t="s">
        <v>152</v>
      </c>
      <c r="L230" s="19" t="s">
        <v>244</v>
      </c>
      <c r="M230" s="19" t="s">
        <v>350</v>
      </c>
      <c r="N230" s="19" t="s">
        <v>162</v>
      </c>
      <c r="O230" s="13">
        <v>15000</v>
      </c>
      <c r="P230" s="13">
        <v>15000</v>
      </c>
      <c r="Q230" s="13">
        <v>15000</v>
      </c>
      <c r="R230" s="13">
        <v>15000</v>
      </c>
      <c r="S230" s="13">
        <v>15000</v>
      </c>
      <c r="T230" s="114">
        <v>15000</v>
      </c>
    </row>
    <row r="231" spans="1:21" x14ac:dyDescent="0.25">
      <c r="A231" s="185"/>
      <c r="B231" s="6"/>
      <c r="C231" s="9"/>
      <c r="D231" s="9"/>
      <c r="E231" s="6"/>
      <c r="F231" s="9"/>
      <c r="G231" s="9"/>
      <c r="H231" s="7"/>
      <c r="I231" s="7"/>
      <c r="J231" s="7"/>
      <c r="K231" s="44" t="s">
        <v>152</v>
      </c>
      <c r="L231" s="19" t="s">
        <v>244</v>
      </c>
      <c r="M231" s="19" t="s">
        <v>350</v>
      </c>
      <c r="N231" s="19" t="s">
        <v>170</v>
      </c>
      <c r="O231" s="13">
        <v>10000</v>
      </c>
      <c r="P231" s="13">
        <v>0</v>
      </c>
      <c r="Q231" s="13">
        <v>14900</v>
      </c>
      <c r="R231" s="13">
        <v>14900</v>
      </c>
      <c r="S231" s="13">
        <v>14900</v>
      </c>
      <c r="T231" s="114">
        <v>14900</v>
      </c>
    </row>
    <row r="232" spans="1:21" x14ac:dyDescent="0.25">
      <c r="A232" s="185"/>
      <c r="B232" s="6"/>
      <c r="C232" s="9"/>
      <c r="D232" s="9"/>
      <c r="E232" s="6"/>
      <c r="F232" s="9"/>
      <c r="G232" s="9"/>
      <c r="H232" s="7"/>
      <c r="I232" s="7"/>
      <c r="J232" s="7"/>
      <c r="K232" s="44" t="s">
        <v>152</v>
      </c>
      <c r="L232" s="19" t="s">
        <v>244</v>
      </c>
      <c r="M232" s="19" t="s">
        <v>351</v>
      </c>
      <c r="N232" s="19" t="s">
        <v>155</v>
      </c>
      <c r="O232" s="13">
        <v>40000</v>
      </c>
      <c r="P232" s="13">
        <v>40000</v>
      </c>
      <c r="Q232" s="13">
        <v>50000</v>
      </c>
      <c r="R232" s="13">
        <v>50000</v>
      </c>
      <c r="S232" s="13">
        <v>50000</v>
      </c>
      <c r="T232" s="114">
        <v>50000</v>
      </c>
    </row>
    <row r="233" spans="1:21" x14ac:dyDescent="0.25">
      <c r="A233" s="185"/>
      <c r="B233" s="6"/>
      <c r="C233" s="9"/>
      <c r="D233" s="9"/>
      <c r="E233" s="6"/>
      <c r="F233" s="9"/>
      <c r="G233" s="9"/>
      <c r="H233" s="7"/>
      <c r="I233" s="7"/>
      <c r="J233" s="7"/>
      <c r="K233" s="44" t="s">
        <v>152</v>
      </c>
      <c r="L233" s="19" t="s">
        <v>160</v>
      </c>
      <c r="M233" s="19" t="s">
        <v>161</v>
      </c>
      <c r="N233" s="19" t="s">
        <v>162</v>
      </c>
      <c r="O233" s="153">
        <f>560000+287800+817100+200000+2200000</f>
        <v>4064900</v>
      </c>
      <c r="P233" s="153">
        <f>540900+280318.06+817100+199898+2200000</f>
        <v>4038216.06</v>
      </c>
      <c r="Q233" s="153">
        <f>79000+226900+1500000+150000+935450</f>
        <v>2891350</v>
      </c>
      <c r="R233" s="153">
        <f>150000+386900+400000+190904+1040500</f>
        <v>2168304</v>
      </c>
      <c r="S233" s="153">
        <f>150000+386900+400000+100000+990000</f>
        <v>2026900</v>
      </c>
      <c r="T233" s="154">
        <f>150000+386900+400000+100000+990000</f>
        <v>2026900</v>
      </c>
    </row>
    <row r="234" spans="1:21" x14ac:dyDescent="0.25">
      <c r="A234" s="185"/>
      <c r="B234" s="6"/>
      <c r="C234" s="9"/>
      <c r="D234" s="9"/>
      <c r="E234" s="6"/>
      <c r="F234" s="9"/>
      <c r="G234" s="9"/>
      <c r="H234" s="7"/>
      <c r="I234" s="7"/>
      <c r="J234" s="7"/>
      <c r="K234" s="44" t="s">
        <v>152</v>
      </c>
      <c r="L234" s="19" t="s">
        <v>160</v>
      </c>
      <c r="M234" s="19" t="s">
        <v>163</v>
      </c>
      <c r="N234" s="19" t="s">
        <v>162</v>
      </c>
      <c r="O234" s="153">
        <v>400000</v>
      </c>
      <c r="P234" s="153">
        <v>400000</v>
      </c>
      <c r="Q234" s="153">
        <v>250000</v>
      </c>
      <c r="R234" s="153">
        <v>156000</v>
      </c>
      <c r="S234" s="153">
        <v>206500</v>
      </c>
      <c r="T234" s="154">
        <v>206500</v>
      </c>
    </row>
    <row r="235" spans="1:21" x14ac:dyDescent="0.25">
      <c r="A235" s="185"/>
      <c r="B235" s="6"/>
      <c r="C235" s="9"/>
      <c r="D235" s="9"/>
      <c r="E235" s="6"/>
      <c r="F235" s="9"/>
      <c r="G235" s="9"/>
      <c r="H235" s="7"/>
      <c r="I235" s="7"/>
      <c r="J235" s="7"/>
      <c r="K235" s="44" t="s">
        <v>152</v>
      </c>
      <c r="L235" s="19" t="s">
        <v>160</v>
      </c>
      <c r="M235" s="19" t="s">
        <v>164</v>
      </c>
      <c r="N235" s="19" t="s">
        <v>162</v>
      </c>
      <c r="O235" s="153">
        <v>400000</v>
      </c>
      <c r="P235" s="153">
        <v>400000</v>
      </c>
      <c r="Q235" s="153">
        <f>71000+13100+130000</f>
        <v>214100</v>
      </c>
      <c r="R235" s="153">
        <f>71000+13100+130000</f>
        <v>214100</v>
      </c>
      <c r="S235" s="153">
        <f>71000+13100+130000</f>
        <v>214100</v>
      </c>
      <c r="T235" s="154">
        <f>71000+13100+130000</f>
        <v>214100</v>
      </c>
    </row>
    <row r="236" spans="1:21" x14ac:dyDescent="0.25">
      <c r="A236" s="185"/>
      <c r="B236" s="6"/>
      <c r="C236" s="9"/>
      <c r="D236" s="9"/>
      <c r="E236" s="6"/>
      <c r="F236" s="9"/>
      <c r="G236" s="9"/>
      <c r="H236" s="7"/>
      <c r="I236" s="7"/>
      <c r="J236" s="7"/>
      <c r="K236" s="44" t="s">
        <v>152</v>
      </c>
      <c r="L236" s="19" t="s">
        <v>160</v>
      </c>
      <c r="M236" s="19" t="s">
        <v>165</v>
      </c>
      <c r="N236" s="19" t="s">
        <v>162</v>
      </c>
      <c r="O236" s="153">
        <v>589080</v>
      </c>
      <c r="P236" s="153">
        <v>569279.77</v>
      </c>
      <c r="Q236" s="153">
        <v>200000</v>
      </c>
      <c r="R236" s="153">
        <f>200000+1224000</f>
        <v>1424000</v>
      </c>
      <c r="S236" s="153">
        <v>200000</v>
      </c>
      <c r="T236" s="154">
        <v>200000</v>
      </c>
    </row>
    <row r="237" spans="1:21" x14ac:dyDescent="0.25">
      <c r="A237" s="185"/>
      <c r="B237" s="6"/>
      <c r="C237" s="9"/>
      <c r="D237" s="9"/>
      <c r="E237" s="6"/>
      <c r="F237" s="9"/>
      <c r="G237" s="9"/>
      <c r="H237" s="7"/>
      <c r="I237" s="7"/>
      <c r="J237" s="7"/>
      <c r="K237" s="44" t="s">
        <v>152</v>
      </c>
      <c r="L237" s="19" t="s">
        <v>195</v>
      </c>
      <c r="M237" s="19" t="s">
        <v>552</v>
      </c>
      <c r="N237" s="19" t="s">
        <v>155</v>
      </c>
      <c r="O237" s="153">
        <v>45800</v>
      </c>
      <c r="P237" s="153">
        <v>45690</v>
      </c>
      <c r="Q237" s="153">
        <v>75800</v>
      </c>
      <c r="R237" s="153">
        <v>31200</v>
      </c>
      <c r="S237" s="153">
        <v>62400</v>
      </c>
      <c r="T237" s="154">
        <v>62400</v>
      </c>
    </row>
    <row r="238" spans="1:21" x14ac:dyDescent="0.25">
      <c r="A238" s="185"/>
      <c r="B238" s="6"/>
      <c r="C238" s="9"/>
      <c r="D238" s="9"/>
      <c r="E238" s="6"/>
      <c r="F238" s="9"/>
      <c r="G238" s="9"/>
      <c r="H238" s="7"/>
      <c r="I238" s="7"/>
      <c r="J238" s="7"/>
      <c r="K238" s="44" t="s">
        <v>152</v>
      </c>
      <c r="L238" s="19" t="s">
        <v>195</v>
      </c>
      <c r="M238" s="19" t="s">
        <v>552</v>
      </c>
      <c r="N238" s="19" t="s">
        <v>162</v>
      </c>
      <c r="O238" s="153">
        <f>126527.85</f>
        <v>126527.85</v>
      </c>
      <c r="P238" s="153">
        <v>106327.26</v>
      </c>
      <c r="Q238" s="153">
        <f>80600+19000</f>
        <v>99600</v>
      </c>
      <c r="R238" s="153">
        <f>74000+21000</f>
        <v>95000</v>
      </c>
      <c r="S238" s="153">
        <f>74000+21000</f>
        <v>95000</v>
      </c>
      <c r="T238" s="154">
        <f>74000+21000</f>
        <v>95000</v>
      </c>
    </row>
    <row r="239" spans="1:21" x14ac:dyDescent="0.25">
      <c r="A239" s="185"/>
      <c r="B239" s="6"/>
      <c r="C239" s="9"/>
      <c r="D239" s="9"/>
      <c r="E239" s="6"/>
      <c r="F239" s="9"/>
      <c r="G239" s="9"/>
      <c r="H239" s="7"/>
      <c r="I239" s="7"/>
      <c r="J239" s="7"/>
      <c r="K239" s="44" t="s">
        <v>152</v>
      </c>
      <c r="L239" s="19" t="s">
        <v>153</v>
      </c>
      <c r="M239" s="19" t="s">
        <v>552</v>
      </c>
      <c r="N239" s="19" t="s">
        <v>155</v>
      </c>
      <c r="O239" s="153">
        <f>2500+150000</f>
        <v>152500</v>
      </c>
      <c r="P239" s="153">
        <f>2500+150000</f>
        <v>152500</v>
      </c>
      <c r="Q239" s="153">
        <f>4700+131000</f>
        <v>135700</v>
      </c>
      <c r="R239" s="153">
        <f>4700+275000</f>
        <v>279700</v>
      </c>
      <c r="S239" s="153">
        <f>4700+275000</f>
        <v>279700</v>
      </c>
      <c r="T239" s="154">
        <f>4700+275000</f>
        <v>279700</v>
      </c>
      <c r="U239" s="19" t="s">
        <v>166</v>
      </c>
    </row>
    <row r="240" spans="1:21" x14ac:dyDescent="0.25">
      <c r="A240" s="185"/>
      <c r="B240" s="6"/>
      <c r="C240" s="9"/>
      <c r="D240" s="9"/>
      <c r="E240" s="6"/>
      <c r="F240" s="9"/>
      <c r="G240" s="9"/>
      <c r="H240" s="7"/>
      <c r="I240" s="7"/>
      <c r="J240" s="7"/>
      <c r="K240" s="44" t="s">
        <v>152</v>
      </c>
      <c r="L240" s="19" t="s">
        <v>153</v>
      </c>
      <c r="M240" s="19" t="s">
        <v>552</v>
      </c>
      <c r="N240" s="19" t="s">
        <v>162</v>
      </c>
      <c r="O240" s="153">
        <f>60095+197410+100000</f>
        <v>357505</v>
      </c>
      <c r="P240" s="153">
        <f>56345+197410+100000</f>
        <v>353755</v>
      </c>
      <c r="Q240" s="153">
        <f>230000+85000+169100</f>
        <v>484100</v>
      </c>
      <c r="R240" s="153">
        <f>100000+85000+125000</f>
        <v>310000</v>
      </c>
      <c r="S240" s="153">
        <f>100000+85000</f>
        <v>185000</v>
      </c>
      <c r="T240" s="154">
        <f>100000+85000</f>
        <v>185000</v>
      </c>
      <c r="U240" s="19" t="s">
        <v>166</v>
      </c>
    </row>
    <row r="241" spans="1:21" x14ac:dyDescent="0.25">
      <c r="A241" s="185"/>
      <c r="B241" s="6"/>
      <c r="C241" s="9"/>
      <c r="D241" s="9"/>
      <c r="E241" s="6"/>
      <c r="F241" s="9"/>
      <c r="G241" s="9"/>
      <c r="H241" s="7"/>
      <c r="I241" s="7"/>
      <c r="J241" s="7"/>
      <c r="K241" s="44" t="s">
        <v>152</v>
      </c>
      <c r="L241" s="19" t="s">
        <v>153</v>
      </c>
      <c r="M241" s="19" t="s">
        <v>552</v>
      </c>
      <c r="N241" s="19" t="s">
        <v>155</v>
      </c>
      <c r="O241" s="153">
        <v>550000</v>
      </c>
      <c r="P241" s="153">
        <v>534403</v>
      </c>
      <c r="Q241" s="153">
        <f>105000+5000+509700</f>
        <v>619700</v>
      </c>
      <c r="R241" s="153">
        <f>24700+5000+270000</f>
        <v>299700</v>
      </c>
      <c r="S241" s="153">
        <f>24700+5000+125000+270000</f>
        <v>424700</v>
      </c>
      <c r="T241" s="154">
        <f>24700+5000+125000+270000</f>
        <v>424700</v>
      </c>
      <c r="U241" s="19" t="s">
        <v>167</v>
      </c>
    </row>
    <row r="242" spans="1:21" x14ac:dyDescent="0.25">
      <c r="A242" s="185"/>
      <c r="B242" s="6"/>
      <c r="C242" s="9"/>
      <c r="D242" s="9"/>
      <c r="E242" s="6"/>
      <c r="F242" s="9"/>
      <c r="G242" s="9"/>
      <c r="H242" s="7"/>
      <c r="I242" s="7"/>
      <c r="J242" s="7"/>
      <c r="K242" s="44" t="s">
        <v>152</v>
      </c>
      <c r="L242" s="19" t="s">
        <v>153</v>
      </c>
      <c r="M242" s="19" t="s">
        <v>552</v>
      </c>
      <c r="N242" s="19" t="s">
        <v>162</v>
      </c>
      <c r="O242" s="153">
        <v>100000</v>
      </c>
      <c r="P242" s="153">
        <v>100000</v>
      </c>
      <c r="Q242" s="153">
        <f>103700+125200</f>
        <v>228900</v>
      </c>
      <c r="R242" s="153">
        <f>103700+115000</f>
        <v>218700</v>
      </c>
      <c r="S242" s="153">
        <f>103700+115000</f>
        <v>218700</v>
      </c>
      <c r="T242" s="154">
        <f>103700+115000</f>
        <v>218700</v>
      </c>
      <c r="U242" s="19" t="s">
        <v>167</v>
      </c>
    </row>
    <row r="243" spans="1:21" x14ac:dyDescent="0.25">
      <c r="A243" s="185"/>
      <c r="B243" s="6"/>
      <c r="C243" s="9"/>
      <c r="D243" s="9"/>
      <c r="E243" s="6"/>
      <c r="F243" s="9"/>
      <c r="G243" s="9"/>
      <c r="H243" s="7"/>
      <c r="I243" s="7"/>
      <c r="J243" s="7"/>
      <c r="K243" s="44" t="s">
        <v>152</v>
      </c>
      <c r="L243" s="19" t="s">
        <v>153</v>
      </c>
      <c r="M243" s="19" t="s">
        <v>553</v>
      </c>
      <c r="N243" s="19" t="s">
        <v>155</v>
      </c>
      <c r="O243" s="153">
        <v>245000</v>
      </c>
      <c r="P243" s="153">
        <v>245000</v>
      </c>
      <c r="Q243" s="153">
        <v>250000</v>
      </c>
      <c r="R243" s="153">
        <v>200000</v>
      </c>
      <c r="S243" s="153">
        <v>200000</v>
      </c>
      <c r="T243" s="154">
        <v>200000</v>
      </c>
      <c r="U243" s="19" t="s">
        <v>352</v>
      </c>
    </row>
    <row r="244" spans="1:21" x14ac:dyDescent="0.25">
      <c r="A244" s="185"/>
      <c r="B244" s="6"/>
      <c r="C244" s="9"/>
      <c r="D244" s="9"/>
      <c r="E244" s="6"/>
      <c r="F244" s="9"/>
      <c r="G244" s="9"/>
      <c r="H244" s="7"/>
      <c r="I244" s="7"/>
      <c r="J244" s="7"/>
      <c r="K244" s="44" t="s">
        <v>152</v>
      </c>
      <c r="L244" s="19" t="s">
        <v>244</v>
      </c>
      <c r="M244" s="19" t="s">
        <v>552</v>
      </c>
      <c r="N244" s="19" t="s">
        <v>155</v>
      </c>
      <c r="O244" s="153">
        <v>164886</v>
      </c>
      <c r="P244" s="153">
        <v>152936</v>
      </c>
      <c r="Q244" s="153">
        <f>14903+149410</f>
        <v>164313</v>
      </c>
      <c r="R244" s="153">
        <f>204000+95000</f>
        <v>299000</v>
      </c>
      <c r="S244" s="153">
        <f>204000+95000</f>
        <v>299000</v>
      </c>
      <c r="T244" s="154">
        <f>204000+95000</f>
        <v>299000</v>
      </c>
      <c r="U244" s="18"/>
    </row>
    <row r="245" spans="1:21" x14ac:dyDescent="0.25">
      <c r="A245" s="185"/>
      <c r="B245" s="6"/>
      <c r="C245" s="9"/>
      <c r="D245" s="9"/>
      <c r="E245" s="6"/>
      <c r="F245" s="9"/>
      <c r="G245" s="9"/>
      <c r="H245" s="7"/>
      <c r="I245" s="7"/>
      <c r="J245" s="7"/>
      <c r="K245" s="44" t="s">
        <v>152</v>
      </c>
      <c r="L245" s="19" t="s">
        <v>244</v>
      </c>
      <c r="M245" s="19" t="s">
        <v>552</v>
      </c>
      <c r="N245" s="19" t="s">
        <v>162</v>
      </c>
      <c r="O245" s="153">
        <v>0</v>
      </c>
      <c r="P245" s="153">
        <v>0</v>
      </c>
      <c r="Q245" s="153">
        <f>81937+89750</f>
        <v>171687</v>
      </c>
      <c r="R245" s="153">
        <f>98000+75000</f>
        <v>173000</v>
      </c>
      <c r="S245" s="153">
        <v>0</v>
      </c>
      <c r="T245" s="154">
        <v>0</v>
      </c>
      <c r="U245" s="18"/>
    </row>
    <row r="246" spans="1:21" x14ac:dyDescent="0.25">
      <c r="A246" s="185"/>
      <c r="B246" s="6"/>
      <c r="C246" s="9"/>
      <c r="D246" s="9"/>
      <c r="E246" s="6"/>
      <c r="F246" s="9"/>
      <c r="G246" s="9"/>
      <c r="H246" s="7"/>
      <c r="I246" s="7"/>
      <c r="J246" s="7"/>
      <c r="K246" s="44" t="s">
        <v>152</v>
      </c>
      <c r="L246" s="19" t="s">
        <v>244</v>
      </c>
      <c r="M246" s="19" t="s">
        <v>553</v>
      </c>
      <c r="N246" s="19" t="s">
        <v>155</v>
      </c>
      <c r="O246" s="153">
        <v>0</v>
      </c>
      <c r="P246" s="153">
        <v>0</v>
      </c>
      <c r="Q246" s="153">
        <v>0</v>
      </c>
      <c r="R246" s="153">
        <v>0</v>
      </c>
      <c r="S246" s="153">
        <v>91000</v>
      </c>
      <c r="T246" s="154">
        <v>91000</v>
      </c>
      <c r="U246" s="18"/>
    </row>
    <row r="247" spans="1:21" x14ac:dyDescent="0.25">
      <c r="A247" s="185"/>
      <c r="B247" s="6"/>
      <c r="C247" s="9"/>
      <c r="D247" s="9"/>
      <c r="E247" s="6"/>
      <c r="F247" s="9"/>
      <c r="G247" s="9"/>
      <c r="H247" s="7"/>
      <c r="I247" s="7"/>
      <c r="J247" s="7"/>
      <c r="K247" s="44" t="s">
        <v>152</v>
      </c>
      <c r="L247" s="19" t="s">
        <v>160</v>
      </c>
      <c r="M247" s="19" t="s">
        <v>169</v>
      </c>
      <c r="N247" s="19" t="s">
        <v>162</v>
      </c>
      <c r="O247" s="153">
        <f>27072.15+443700+62000+449114+1378100</f>
        <v>2359986.15</v>
      </c>
      <c r="P247" s="153">
        <f>27072+350260.69+62000+446906.75+1203875.88</f>
        <v>2090115.3199999998</v>
      </c>
      <c r="Q247" s="153">
        <f>117600+166080+201100+118000+998335.02</f>
        <v>1601115.02</v>
      </c>
      <c r="R247" s="153">
        <f>93200+216600+201100+45169+1718100</f>
        <v>2274169</v>
      </c>
      <c r="S247" s="153">
        <f>93200+216600+201100+130000+1718100</f>
        <v>2359000</v>
      </c>
      <c r="T247" s="154">
        <f>93200+216600+201100+130000+1718100</f>
        <v>2359000</v>
      </c>
    </row>
    <row r="248" spans="1:21" x14ac:dyDescent="0.25">
      <c r="A248" s="185"/>
      <c r="B248" s="6"/>
      <c r="C248" s="9"/>
      <c r="D248" s="9"/>
      <c r="E248" s="6"/>
      <c r="F248" s="9"/>
      <c r="G248" s="9"/>
      <c r="H248" s="7"/>
      <c r="I248" s="7"/>
      <c r="J248" s="7"/>
      <c r="K248" s="44" t="s">
        <v>152</v>
      </c>
      <c r="L248" s="19" t="s">
        <v>160</v>
      </c>
      <c r="M248" s="19" t="s">
        <v>169</v>
      </c>
      <c r="N248" s="19" t="s">
        <v>170</v>
      </c>
      <c r="O248" s="153">
        <f>6601+5598</f>
        <v>12199</v>
      </c>
      <c r="P248" s="153">
        <f>2000+5105.88</f>
        <v>7105.88</v>
      </c>
      <c r="Q248" s="153">
        <f>5000+2400+5000</f>
        <v>12400</v>
      </c>
      <c r="R248" s="153">
        <f>5000+2400+5000</f>
        <v>12400</v>
      </c>
      <c r="S248" s="153">
        <f>5000+2400+5000</f>
        <v>12400</v>
      </c>
      <c r="T248" s="154">
        <f>5000+2400+5000</f>
        <v>12400</v>
      </c>
    </row>
    <row r="249" spans="1:21" x14ac:dyDescent="0.25">
      <c r="A249" s="185"/>
      <c r="B249" s="6"/>
      <c r="C249" s="9"/>
      <c r="D249" s="9"/>
      <c r="E249" s="6"/>
      <c r="F249" s="9"/>
      <c r="G249" s="9"/>
      <c r="H249" s="7"/>
      <c r="I249" s="7"/>
      <c r="J249" s="7"/>
      <c r="K249" s="44" t="s">
        <v>152</v>
      </c>
      <c r="L249" s="19" t="s">
        <v>195</v>
      </c>
      <c r="M249" s="19" t="s">
        <v>168</v>
      </c>
      <c r="N249" s="19" t="s">
        <v>155</v>
      </c>
      <c r="O249" s="153">
        <v>0</v>
      </c>
      <c r="P249" s="153">
        <v>0</v>
      </c>
      <c r="Q249" s="153">
        <v>60900</v>
      </c>
      <c r="R249" s="153">
        <v>120000</v>
      </c>
      <c r="S249" s="153">
        <v>65900</v>
      </c>
      <c r="T249" s="154">
        <v>65900</v>
      </c>
    </row>
    <row r="250" spans="1:21" x14ac:dyDescent="0.25">
      <c r="A250" s="185"/>
      <c r="B250" s="6"/>
      <c r="C250" s="9"/>
      <c r="D250" s="9"/>
      <c r="E250" s="6"/>
      <c r="F250" s="9"/>
      <c r="G250" s="9"/>
      <c r="H250" s="7"/>
      <c r="I250" s="7"/>
      <c r="J250" s="7"/>
      <c r="K250" s="44" t="s">
        <v>152</v>
      </c>
      <c r="L250" s="19" t="s">
        <v>153</v>
      </c>
      <c r="M250" s="19" t="s">
        <v>168</v>
      </c>
      <c r="N250" s="19" t="s">
        <v>155</v>
      </c>
      <c r="O250" s="153">
        <f>63980.37+198291.77+762818</f>
        <v>1025090.14</v>
      </c>
      <c r="P250" s="153">
        <f>45621.88+198291.77+762817.82</f>
        <v>1006731.47</v>
      </c>
      <c r="Q250" s="153">
        <f>242120+378400+772000</f>
        <v>1392520</v>
      </c>
      <c r="R250" s="153">
        <f>241900+378400+505000</f>
        <v>1125300</v>
      </c>
      <c r="S250" s="153">
        <f>241900+378400+505000</f>
        <v>1125300</v>
      </c>
      <c r="T250" s="154">
        <f>241900+378400+505000</f>
        <v>1125300</v>
      </c>
    </row>
    <row r="251" spans="1:21" x14ac:dyDescent="0.25">
      <c r="A251" s="185"/>
      <c r="B251" s="6"/>
      <c r="C251" s="9"/>
      <c r="D251" s="9"/>
      <c r="E251" s="6"/>
      <c r="F251" s="9"/>
      <c r="G251" s="9"/>
      <c r="H251" s="7"/>
      <c r="I251" s="7"/>
      <c r="J251" s="7"/>
      <c r="K251" s="44" t="s">
        <v>152</v>
      </c>
      <c r="L251" s="19" t="s">
        <v>160</v>
      </c>
      <c r="M251" s="19" t="s">
        <v>323</v>
      </c>
      <c r="N251" s="19" t="s">
        <v>170</v>
      </c>
      <c r="O251" s="153">
        <v>1330332</v>
      </c>
      <c r="P251" s="153">
        <v>1330332</v>
      </c>
      <c r="Q251" s="153">
        <f>219438.4+292793</f>
        <v>512231.4</v>
      </c>
      <c r="R251" s="153">
        <f>219438+537000</f>
        <v>756438</v>
      </c>
      <c r="S251" s="153">
        <f>219438+537000</f>
        <v>756438</v>
      </c>
      <c r="T251" s="154">
        <f>219438+537000</f>
        <v>756438</v>
      </c>
    </row>
    <row r="252" spans="1:21" x14ac:dyDescent="0.25">
      <c r="A252" s="185"/>
      <c r="B252" s="6"/>
      <c r="C252" s="9"/>
      <c r="D252" s="9"/>
      <c r="E252" s="6"/>
      <c r="F252" s="9"/>
      <c r="G252" s="9"/>
      <c r="H252" s="7"/>
      <c r="I252" s="7"/>
      <c r="J252" s="7"/>
      <c r="K252" s="44" t="s">
        <v>152</v>
      </c>
      <c r="L252" s="19" t="s">
        <v>160</v>
      </c>
      <c r="M252" s="19" t="s">
        <v>279</v>
      </c>
      <c r="N252" s="19" t="s">
        <v>162</v>
      </c>
      <c r="O252" s="153">
        <v>150000</v>
      </c>
      <c r="P252" s="153">
        <v>149822.22</v>
      </c>
      <c r="Q252" s="153">
        <v>0</v>
      </c>
      <c r="R252" s="153">
        <v>0</v>
      </c>
      <c r="S252" s="153">
        <v>0</v>
      </c>
      <c r="T252" s="154">
        <v>0</v>
      </c>
    </row>
    <row r="253" spans="1:21" x14ac:dyDescent="0.25">
      <c r="A253" s="185"/>
      <c r="B253" s="6"/>
      <c r="C253" s="9"/>
      <c r="D253" s="9"/>
      <c r="E253" s="6"/>
      <c r="F253" s="9"/>
      <c r="G253" s="9"/>
      <c r="H253" s="7"/>
      <c r="I253" s="7"/>
      <c r="J253" s="7"/>
      <c r="K253" s="44" t="s">
        <v>152</v>
      </c>
      <c r="L253" s="19" t="s">
        <v>160</v>
      </c>
      <c r="M253" s="19" t="s">
        <v>368</v>
      </c>
      <c r="N253" s="19" t="s">
        <v>162</v>
      </c>
      <c r="O253" s="13">
        <v>1391533</v>
      </c>
      <c r="P253" s="13">
        <v>1383259.4</v>
      </c>
      <c r="Q253" s="13">
        <v>794325</v>
      </c>
      <c r="R253" s="13">
        <v>300000</v>
      </c>
      <c r="S253" s="13">
        <v>413000</v>
      </c>
      <c r="T253" s="114">
        <v>498000</v>
      </c>
    </row>
    <row r="254" spans="1:21" x14ac:dyDescent="0.25">
      <c r="A254" s="185"/>
      <c r="B254" s="6"/>
      <c r="C254" s="9"/>
      <c r="D254" s="9"/>
      <c r="E254" s="6"/>
      <c r="F254" s="9"/>
      <c r="G254" s="9"/>
      <c r="H254" s="7"/>
      <c r="I254" s="7"/>
      <c r="J254" s="7"/>
      <c r="K254" s="44" t="s">
        <v>152</v>
      </c>
      <c r="L254" s="19" t="s">
        <v>160</v>
      </c>
      <c r="M254" s="19" t="s">
        <v>177</v>
      </c>
      <c r="N254" s="19" t="s">
        <v>222</v>
      </c>
      <c r="O254" s="13">
        <v>326249.73</v>
      </c>
      <c r="P254" s="13">
        <v>307249.73</v>
      </c>
      <c r="Q254" s="13">
        <v>76704.22</v>
      </c>
      <c r="R254" s="13">
        <v>0</v>
      </c>
      <c r="S254" s="13">
        <v>0</v>
      </c>
      <c r="T254" s="114">
        <v>0</v>
      </c>
    </row>
    <row r="255" spans="1:21" x14ac:dyDescent="0.25">
      <c r="A255" s="185"/>
      <c r="B255" s="6"/>
      <c r="C255" s="9"/>
      <c r="D255" s="9"/>
      <c r="E255" s="6"/>
      <c r="F255" s="9"/>
      <c r="G255" s="9"/>
      <c r="H255" s="7"/>
      <c r="I255" s="7"/>
      <c r="J255" s="7"/>
      <c r="K255" s="44" t="s">
        <v>153</v>
      </c>
      <c r="L255" s="19" t="s">
        <v>243</v>
      </c>
      <c r="M255" s="19" t="s">
        <v>369</v>
      </c>
      <c r="N255" s="19" t="s">
        <v>162</v>
      </c>
      <c r="O255" s="13">
        <v>0</v>
      </c>
      <c r="P255" s="13">
        <v>0</v>
      </c>
      <c r="Q255" s="13">
        <v>1650</v>
      </c>
      <c r="R255" s="13">
        <v>600</v>
      </c>
      <c r="S255" s="13">
        <v>600</v>
      </c>
      <c r="T255" s="114">
        <v>600</v>
      </c>
    </row>
    <row r="256" spans="1:21" x14ac:dyDescent="0.25">
      <c r="A256" s="185"/>
      <c r="B256" s="6"/>
      <c r="C256" s="9"/>
      <c r="D256" s="9"/>
      <c r="E256" s="6"/>
      <c r="F256" s="9"/>
      <c r="G256" s="9"/>
      <c r="H256" s="7"/>
      <c r="I256" s="7"/>
      <c r="J256" s="7"/>
      <c r="K256" s="44" t="s">
        <v>282</v>
      </c>
      <c r="L256" s="19" t="s">
        <v>186</v>
      </c>
      <c r="M256" s="19" t="s">
        <v>179</v>
      </c>
      <c r="N256" s="19" t="s">
        <v>162</v>
      </c>
      <c r="O256" s="13">
        <v>0</v>
      </c>
      <c r="P256" s="13">
        <v>0</v>
      </c>
      <c r="Q256" s="13">
        <v>4060246.71</v>
      </c>
      <c r="R256" s="13">
        <v>0</v>
      </c>
      <c r="S256" s="13">
        <v>0</v>
      </c>
      <c r="T256" s="114">
        <v>0</v>
      </c>
    </row>
    <row r="257" spans="1:20" x14ac:dyDescent="0.25">
      <c r="A257" s="185"/>
      <c r="B257" s="6"/>
      <c r="C257" s="9"/>
      <c r="D257" s="9"/>
      <c r="E257" s="6"/>
      <c r="F257" s="9"/>
      <c r="G257" s="9"/>
      <c r="H257" s="7"/>
      <c r="I257" s="7"/>
      <c r="J257" s="7"/>
      <c r="K257" s="44" t="s">
        <v>282</v>
      </c>
      <c r="L257" s="19" t="s">
        <v>186</v>
      </c>
      <c r="M257" s="19" t="s">
        <v>179</v>
      </c>
      <c r="N257" s="19" t="s">
        <v>170</v>
      </c>
      <c r="O257" s="13">
        <v>0</v>
      </c>
      <c r="P257" s="13">
        <v>0</v>
      </c>
      <c r="Q257" s="13">
        <v>67943.62</v>
      </c>
      <c r="R257" s="13">
        <v>0</v>
      </c>
      <c r="S257" s="13">
        <v>0</v>
      </c>
      <c r="T257" s="114">
        <v>0</v>
      </c>
    </row>
    <row r="258" spans="1:20" x14ac:dyDescent="0.25">
      <c r="A258" s="185"/>
      <c r="B258" s="6"/>
      <c r="C258" s="9"/>
      <c r="D258" s="9"/>
      <c r="E258" s="6"/>
      <c r="F258" s="9"/>
      <c r="G258" s="9"/>
      <c r="H258" s="7"/>
      <c r="I258" s="7"/>
      <c r="J258" s="7"/>
      <c r="K258" s="44" t="s">
        <v>180</v>
      </c>
      <c r="L258" s="19" t="s">
        <v>152</v>
      </c>
      <c r="M258" s="19" t="s">
        <v>179</v>
      </c>
      <c r="N258" s="19" t="s">
        <v>170</v>
      </c>
      <c r="O258" s="13">
        <v>0</v>
      </c>
      <c r="P258" s="13">
        <v>0</v>
      </c>
      <c r="Q258" s="13">
        <v>496971.98</v>
      </c>
      <c r="R258" s="13">
        <v>0</v>
      </c>
      <c r="S258" s="13">
        <v>0</v>
      </c>
      <c r="T258" s="114">
        <v>0</v>
      </c>
    </row>
    <row r="259" spans="1:20" x14ac:dyDescent="0.25">
      <c r="A259" s="185"/>
      <c r="B259" s="6"/>
      <c r="C259" s="9"/>
      <c r="D259" s="9"/>
      <c r="E259" s="6"/>
      <c r="F259" s="9"/>
      <c r="G259" s="9"/>
      <c r="H259" s="7"/>
      <c r="I259" s="7"/>
      <c r="J259" s="7"/>
      <c r="K259" s="44" t="s">
        <v>152</v>
      </c>
      <c r="L259" s="19" t="s">
        <v>160</v>
      </c>
      <c r="M259" s="19" t="s">
        <v>179</v>
      </c>
      <c r="N259" s="19" t="s">
        <v>170</v>
      </c>
      <c r="O259" s="13">
        <v>349079.09</v>
      </c>
      <c r="P259" s="13">
        <v>349079.09</v>
      </c>
      <c r="Q259" s="13">
        <v>0</v>
      </c>
      <c r="R259" s="13">
        <v>0</v>
      </c>
      <c r="S259" s="13">
        <v>0</v>
      </c>
      <c r="T259" s="114">
        <v>0</v>
      </c>
    </row>
    <row r="260" spans="1:20" x14ac:dyDescent="0.25">
      <c r="A260" s="185"/>
      <c r="B260" s="6"/>
      <c r="C260" s="9"/>
      <c r="D260" s="9"/>
      <c r="E260" s="6"/>
      <c r="F260" s="9"/>
      <c r="G260" s="9"/>
      <c r="H260" s="7"/>
      <c r="I260" s="7"/>
      <c r="J260" s="7"/>
      <c r="K260" s="44" t="s">
        <v>152</v>
      </c>
      <c r="L260" s="19" t="s">
        <v>160</v>
      </c>
      <c r="M260" s="19" t="s">
        <v>370</v>
      </c>
      <c r="N260" s="19" t="s">
        <v>162</v>
      </c>
      <c r="O260" s="13">
        <v>169467</v>
      </c>
      <c r="P260" s="13">
        <v>169466.53</v>
      </c>
      <c r="Q260" s="13">
        <v>0</v>
      </c>
      <c r="R260" s="13">
        <v>242000</v>
      </c>
      <c r="S260" s="13">
        <v>157000</v>
      </c>
      <c r="T260" s="114">
        <v>174000</v>
      </c>
    </row>
    <row r="261" spans="1:20" x14ac:dyDescent="0.25">
      <c r="A261" s="185"/>
      <c r="B261" s="6"/>
      <c r="C261" s="9"/>
      <c r="D261" s="9"/>
      <c r="E261" s="6"/>
      <c r="F261" s="9"/>
      <c r="G261" s="9"/>
      <c r="H261" s="7"/>
      <c r="I261" s="7"/>
      <c r="J261" s="7"/>
      <c r="K261" s="44" t="s">
        <v>243</v>
      </c>
      <c r="L261" s="19" t="s">
        <v>152</v>
      </c>
      <c r="M261" s="19" t="s">
        <v>383</v>
      </c>
      <c r="N261" s="19" t="s">
        <v>222</v>
      </c>
      <c r="O261" s="13">
        <v>468000</v>
      </c>
      <c r="P261" s="13">
        <v>467877.62</v>
      </c>
      <c r="Q261" s="13">
        <v>4680000</v>
      </c>
      <c r="R261" s="13">
        <v>5130000</v>
      </c>
      <c r="S261" s="13">
        <v>5580000</v>
      </c>
      <c r="T261" s="114">
        <v>6030000</v>
      </c>
    </row>
    <row r="262" spans="1:20" ht="57.75" x14ac:dyDescent="0.25">
      <c r="A262" s="185" t="s">
        <v>36</v>
      </c>
      <c r="B262" s="8" t="s">
        <v>57</v>
      </c>
      <c r="C262" s="10" t="s">
        <v>134</v>
      </c>
      <c r="D262" s="10" t="s">
        <v>61</v>
      </c>
      <c r="E262" s="7"/>
      <c r="F262" s="7"/>
      <c r="G262" s="7"/>
      <c r="H262" s="24" t="s">
        <v>447</v>
      </c>
      <c r="I262" s="25"/>
      <c r="J262" s="26" t="s">
        <v>448</v>
      </c>
      <c r="K262" s="44"/>
      <c r="L262" s="19"/>
      <c r="M262" s="19"/>
      <c r="N262" s="19"/>
      <c r="O262" s="159">
        <f>SUM(O263:O278)</f>
        <v>89094267.180000007</v>
      </c>
      <c r="P262" s="159">
        <f t="shared" ref="P262:T262" si="23">SUM(P263:P278)</f>
        <v>87883558.069999993</v>
      </c>
      <c r="Q262" s="159">
        <f t="shared" si="23"/>
        <v>115104132.56</v>
      </c>
      <c r="R262" s="159">
        <f t="shared" si="23"/>
        <v>104141072.54000001</v>
      </c>
      <c r="S262" s="159">
        <f t="shared" si="23"/>
        <v>91249944.840000004</v>
      </c>
      <c r="T262" s="159">
        <f t="shared" si="23"/>
        <v>91257944.840000004</v>
      </c>
    </row>
    <row r="263" spans="1:20" ht="49.5" x14ac:dyDescent="0.25">
      <c r="A263" s="185"/>
      <c r="B263" s="8"/>
      <c r="C263" s="10"/>
      <c r="D263" s="10"/>
      <c r="E263" s="7"/>
      <c r="F263" s="7"/>
      <c r="G263" s="7"/>
      <c r="H263" s="24" t="s">
        <v>449</v>
      </c>
      <c r="I263" s="25"/>
      <c r="J263" s="26" t="s">
        <v>450</v>
      </c>
      <c r="K263" s="70" t="s">
        <v>282</v>
      </c>
      <c r="L263" s="71" t="s">
        <v>282</v>
      </c>
      <c r="M263" s="55" t="s">
        <v>324</v>
      </c>
      <c r="N263" s="71" t="s">
        <v>155</v>
      </c>
      <c r="O263" s="130">
        <v>383000</v>
      </c>
      <c r="P263" s="130">
        <v>240656.36</v>
      </c>
      <c r="Q263" s="130">
        <v>155000</v>
      </c>
      <c r="R263" s="130">
        <v>155000</v>
      </c>
      <c r="S263" s="130">
        <f>R263</f>
        <v>155000</v>
      </c>
      <c r="T263" s="130">
        <f t="shared" ref="T263:T264" si="24">S263</f>
        <v>155000</v>
      </c>
    </row>
    <row r="264" spans="1:20" ht="49.5" x14ac:dyDescent="0.25">
      <c r="A264" s="185"/>
      <c r="B264" s="8"/>
      <c r="C264" s="10"/>
      <c r="D264" s="10"/>
      <c r="E264" s="7"/>
      <c r="F264" s="7"/>
      <c r="G264" s="7"/>
      <c r="H264" s="24" t="s">
        <v>514</v>
      </c>
      <c r="I264" s="7"/>
      <c r="J264" s="7" t="s">
        <v>515</v>
      </c>
      <c r="K264" s="70" t="s">
        <v>282</v>
      </c>
      <c r="L264" s="71" t="s">
        <v>282</v>
      </c>
      <c r="M264" s="55" t="s">
        <v>325</v>
      </c>
      <c r="N264" s="71" t="s">
        <v>155</v>
      </c>
      <c r="O264" s="130">
        <v>18232958.370000001</v>
      </c>
      <c r="P264" s="130">
        <v>17650666.219999999</v>
      </c>
      <c r="Q264" s="130">
        <v>19088188.699999999</v>
      </c>
      <c r="R264" s="130">
        <v>19088188.699999999</v>
      </c>
      <c r="S264" s="130">
        <f>R264</f>
        <v>19088188.699999999</v>
      </c>
      <c r="T264" s="130">
        <f t="shared" si="24"/>
        <v>19088188.699999999</v>
      </c>
    </row>
    <row r="265" spans="1:20" ht="41.25" x14ac:dyDescent="0.25">
      <c r="A265" s="185"/>
      <c r="B265" s="8"/>
      <c r="C265" s="10"/>
      <c r="D265" s="10"/>
      <c r="E265" s="7"/>
      <c r="F265" s="7"/>
      <c r="G265" s="7"/>
      <c r="H265" s="7" t="s">
        <v>421</v>
      </c>
      <c r="I265" s="7" t="s">
        <v>58</v>
      </c>
      <c r="J265" s="7" t="s">
        <v>471</v>
      </c>
      <c r="K265" s="70" t="s">
        <v>282</v>
      </c>
      <c r="L265" s="71" t="s">
        <v>282</v>
      </c>
      <c r="M265" s="55" t="s">
        <v>325</v>
      </c>
      <c r="N265" s="71" t="s">
        <v>162</v>
      </c>
      <c r="O265" s="130">
        <v>2644880</v>
      </c>
      <c r="P265" s="130">
        <v>2412739.83</v>
      </c>
      <c r="Q265" s="130">
        <v>1829871.3</v>
      </c>
      <c r="R265" s="130">
        <f>1655100.7+1149909.3</f>
        <v>2805010</v>
      </c>
      <c r="S265" s="130">
        <v>2238796.2999999998</v>
      </c>
      <c r="T265" s="130">
        <v>2238796.2999999998</v>
      </c>
    </row>
    <row r="266" spans="1:20" ht="41.25" x14ac:dyDescent="0.25">
      <c r="A266" s="185"/>
      <c r="B266" s="8"/>
      <c r="C266" s="10"/>
      <c r="D266" s="10"/>
      <c r="E266" s="7"/>
      <c r="F266" s="7"/>
      <c r="G266" s="7"/>
      <c r="H266" s="7" t="s">
        <v>171</v>
      </c>
      <c r="I266" s="7" t="s">
        <v>451</v>
      </c>
      <c r="J266" s="7" t="s">
        <v>407</v>
      </c>
      <c r="K266" s="70" t="s">
        <v>282</v>
      </c>
      <c r="L266" s="71" t="s">
        <v>282</v>
      </c>
      <c r="M266" s="55" t="s">
        <v>325</v>
      </c>
      <c r="N266" s="71" t="s">
        <v>170</v>
      </c>
      <c r="O266" s="130">
        <v>1324000</v>
      </c>
      <c r="P266" s="130">
        <v>1070066.8500000001</v>
      </c>
      <c r="Q266" s="130">
        <v>1528941.21</v>
      </c>
      <c r="R266" s="130">
        <v>20000</v>
      </c>
      <c r="S266" s="130">
        <v>20000</v>
      </c>
      <c r="T266" s="130">
        <v>20000</v>
      </c>
    </row>
    <row r="267" spans="1:20" ht="66" x14ac:dyDescent="0.25">
      <c r="A267" s="185"/>
      <c r="B267" s="8"/>
      <c r="C267" s="10"/>
      <c r="D267" s="10"/>
      <c r="E267" s="7"/>
      <c r="F267" s="7"/>
      <c r="G267" s="7"/>
      <c r="H267" s="24" t="s">
        <v>401</v>
      </c>
      <c r="I267" s="7"/>
      <c r="J267" s="7" t="s">
        <v>483</v>
      </c>
      <c r="K267" s="44" t="s">
        <v>152</v>
      </c>
      <c r="L267" s="19" t="s">
        <v>160</v>
      </c>
      <c r="M267" s="19" t="s">
        <v>372</v>
      </c>
      <c r="N267" s="19" t="s">
        <v>221</v>
      </c>
      <c r="O267" s="13">
        <v>700000</v>
      </c>
      <c r="P267" s="13">
        <v>700000</v>
      </c>
      <c r="Q267" s="13">
        <v>966991.35</v>
      </c>
      <c r="R267" s="13">
        <v>500000</v>
      </c>
      <c r="S267" s="13">
        <v>500000</v>
      </c>
      <c r="T267" s="114">
        <v>500000</v>
      </c>
    </row>
    <row r="268" spans="1:20" ht="33" x14ac:dyDescent="0.25">
      <c r="A268" s="185"/>
      <c r="B268" s="8"/>
      <c r="C268" s="10"/>
      <c r="D268" s="10"/>
      <c r="E268" s="7"/>
      <c r="F268" s="7"/>
      <c r="G268" s="7"/>
      <c r="H268" s="136" t="s">
        <v>281</v>
      </c>
      <c r="I268" s="7"/>
      <c r="J268" s="7" t="s">
        <v>462</v>
      </c>
      <c r="K268" s="44" t="s">
        <v>152</v>
      </c>
      <c r="L268" s="19" t="s">
        <v>160</v>
      </c>
      <c r="M268" s="19" t="s">
        <v>373</v>
      </c>
      <c r="N268" s="19" t="s">
        <v>221</v>
      </c>
      <c r="O268" s="13">
        <v>43570603.469999999</v>
      </c>
      <c r="P268" s="13">
        <v>43570603.469999999</v>
      </c>
      <c r="Q268" s="13">
        <v>45951949</v>
      </c>
      <c r="R268" s="13">
        <v>45212573</v>
      </c>
      <c r="S268" s="13">
        <v>45665659</v>
      </c>
      <c r="T268" s="114">
        <v>45665659</v>
      </c>
    </row>
    <row r="269" spans="1:20" x14ac:dyDescent="0.25">
      <c r="A269" s="185"/>
      <c r="B269" s="8"/>
      <c r="C269" s="10"/>
      <c r="D269" s="10"/>
      <c r="E269" s="7"/>
      <c r="F269" s="7"/>
      <c r="G269" s="7"/>
      <c r="H269" s="136"/>
      <c r="I269" s="7"/>
      <c r="J269" s="7"/>
      <c r="K269" s="44" t="s">
        <v>152</v>
      </c>
      <c r="L269" s="19" t="s">
        <v>160</v>
      </c>
      <c r="M269" s="19" t="s">
        <v>501</v>
      </c>
      <c r="N269" s="19" t="s">
        <v>221</v>
      </c>
      <c r="O269" s="13">
        <v>0</v>
      </c>
      <c r="P269" s="13">
        <v>0</v>
      </c>
      <c r="Q269" s="13">
        <v>0</v>
      </c>
      <c r="R269" s="13">
        <v>12800000</v>
      </c>
      <c r="S269" s="13">
        <v>0</v>
      </c>
      <c r="T269" s="114">
        <v>0</v>
      </c>
    </row>
    <row r="270" spans="1:20" x14ac:dyDescent="0.25">
      <c r="A270" s="185"/>
      <c r="B270" s="8"/>
      <c r="C270" s="10"/>
      <c r="D270" s="10"/>
      <c r="E270" s="7"/>
      <c r="F270" s="7"/>
      <c r="G270" s="7"/>
      <c r="H270" s="7"/>
      <c r="I270" s="7"/>
      <c r="J270" s="7"/>
      <c r="K270" s="44" t="s">
        <v>152</v>
      </c>
      <c r="L270" s="19" t="s">
        <v>160</v>
      </c>
      <c r="M270" s="19" t="s">
        <v>374</v>
      </c>
      <c r="N270" s="19" t="s">
        <v>221</v>
      </c>
      <c r="O270" s="13">
        <v>896275</v>
      </c>
      <c r="P270" s="13">
        <v>896275</v>
      </c>
      <c r="Q270" s="13">
        <v>0</v>
      </c>
      <c r="R270" s="13">
        <v>0</v>
      </c>
      <c r="S270" s="13">
        <v>0</v>
      </c>
      <c r="T270" s="114">
        <v>0</v>
      </c>
    </row>
    <row r="271" spans="1:20" x14ac:dyDescent="0.25">
      <c r="A271" s="185"/>
      <c r="B271" s="8"/>
      <c r="C271" s="10"/>
      <c r="D271" s="10"/>
      <c r="E271" s="7"/>
      <c r="F271" s="7"/>
      <c r="G271" s="7"/>
      <c r="H271" s="7"/>
      <c r="I271" s="7"/>
      <c r="J271" s="7"/>
      <c r="K271" s="44" t="s">
        <v>153</v>
      </c>
      <c r="L271" s="19" t="s">
        <v>243</v>
      </c>
      <c r="M271" s="19" t="s">
        <v>372</v>
      </c>
      <c r="N271" s="19" t="s">
        <v>221</v>
      </c>
      <c r="O271" s="13">
        <v>442820</v>
      </c>
      <c r="P271" s="13">
        <v>442820</v>
      </c>
      <c r="Q271" s="13">
        <v>309800</v>
      </c>
      <c r="R271" s="13">
        <v>500000</v>
      </c>
      <c r="S271" s="13">
        <v>500000</v>
      </c>
      <c r="T271" s="114">
        <v>500000</v>
      </c>
    </row>
    <row r="272" spans="1:20" x14ac:dyDescent="0.25">
      <c r="A272" s="185"/>
      <c r="B272" s="8"/>
      <c r="C272" s="10"/>
      <c r="D272" s="10"/>
      <c r="E272" s="7"/>
      <c r="F272" s="7"/>
      <c r="G272" s="7"/>
      <c r="H272" s="7"/>
      <c r="I272" s="7"/>
      <c r="J272" s="7"/>
      <c r="K272" s="44" t="s">
        <v>153</v>
      </c>
      <c r="L272" s="19" t="s">
        <v>243</v>
      </c>
      <c r="M272" s="19" t="s">
        <v>375</v>
      </c>
      <c r="N272" s="19" t="s">
        <v>221</v>
      </c>
      <c r="O272" s="13">
        <v>13083130.699999999</v>
      </c>
      <c r="P272" s="13">
        <v>13083130.73</v>
      </c>
      <c r="Q272" s="13">
        <v>17921300.84</v>
      </c>
      <c r="R272" s="13">
        <v>17921300.84</v>
      </c>
      <c r="S272" s="13">
        <v>17921300.84</v>
      </c>
      <c r="T272" s="114">
        <v>17921300.84</v>
      </c>
    </row>
    <row r="273" spans="1:20" x14ac:dyDescent="0.25">
      <c r="A273" s="185"/>
      <c r="B273" s="8"/>
      <c r="C273" s="10"/>
      <c r="D273" s="10"/>
      <c r="E273" s="7"/>
      <c r="F273" s="7"/>
      <c r="G273" s="7"/>
      <c r="H273" s="7"/>
      <c r="I273" s="7"/>
      <c r="J273" s="7"/>
      <c r="K273" s="44" t="s">
        <v>153</v>
      </c>
      <c r="L273" s="19" t="s">
        <v>243</v>
      </c>
      <c r="M273" s="19" t="s">
        <v>376</v>
      </c>
      <c r="N273" s="19" t="s">
        <v>221</v>
      </c>
      <c r="O273" s="13">
        <v>2558090.44</v>
      </c>
      <c r="P273" s="13">
        <v>2558090.41</v>
      </c>
      <c r="Q273" s="13">
        <v>6298785.6399999997</v>
      </c>
      <c r="R273" s="13">
        <v>0</v>
      </c>
      <c r="S273" s="13">
        <v>0</v>
      </c>
      <c r="T273" s="114">
        <v>0</v>
      </c>
    </row>
    <row r="274" spans="1:20" x14ac:dyDescent="0.25">
      <c r="A274" s="185"/>
      <c r="B274" s="8"/>
      <c r="C274" s="10"/>
      <c r="D274" s="10"/>
      <c r="E274" s="7"/>
      <c r="F274" s="7"/>
      <c r="G274" s="7"/>
      <c r="H274" s="7"/>
      <c r="I274" s="7"/>
      <c r="J274" s="7"/>
      <c r="K274" s="44" t="s">
        <v>153</v>
      </c>
      <c r="L274" s="19" t="s">
        <v>243</v>
      </c>
      <c r="M274" s="19" t="s">
        <v>377</v>
      </c>
      <c r="N274" s="19" t="s">
        <v>223</v>
      </c>
      <c r="O274" s="13">
        <v>0</v>
      </c>
      <c r="P274" s="13">
        <v>0</v>
      </c>
      <c r="Q274" s="13">
        <v>15698421.52</v>
      </c>
      <c r="R274" s="13">
        <v>0</v>
      </c>
      <c r="S274" s="13">
        <v>0</v>
      </c>
      <c r="T274" s="114">
        <v>0</v>
      </c>
    </row>
    <row r="275" spans="1:20" x14ac:dyDescent="0.25">
      <c r="A275" s="185"/>
      <c r="B275" s="8"/>
      <c r="C275" s="10"/>
      <c r="D275" s="10"/>
      <c r="E275" s="7"/>
      <c r="F275" s="7"/>
      <c r="G275" s="7"/>
      <c r="H275" s="7"/>
      <c r="I275" s="7"/>
      <c r="J275" s="7"/>
      <c r="K275" s="44" t="s">
        <v>153</v>
      </c>
      <c r="L275" s="19" t="s">
        <v>243</v>
      </c>
      <c r="M275" s="19" t="s">
        <v>378</v>
      </c>
      <c r="N275" s="19" t="s">
        <v>221</v>
      </c>
      <c r="O275" s="13">
        <v>0</v>
      </c>
      <c r="P275" s="13">
        <v>0</v>
      </c>
      <c r="Q275" s="13">
        <v>442000</v>
      </c>
      <c r="R275" s="13">
        <v>0</v>
      </c>
      <c r="S275" s="13">
        <v>0</v>
      </c>
      <c r="T275" s="114">
        <v>0</v>
      </c>
    </row>
    <row r="276" spans="1:20" x14ac:dyDescent="0.25">
      <c r="A276" s="185"/>
      <c r="B276" s="8"/>
      <c r="C276" s="10"/>
      <c r="D276" s="10"/>
      <c r="E276" s="7"/>
      <c r="F276" s="7"/>
      <c r="G276" s="7"/>
      <c r="H276" s="7"/>
      <c r="I276" s="7"/>
      <c r="J276" s="7"/>
      <c r="K276" s="44" t="s">
        <v>18</v>
      </c>
      <c r="L276" s="19" t="s">
        <v>152</v>
      </c>
      <c r="M276" s="19" t="s">
        <v>372</v>
      </c>
      <c r="N276" s="19" t="s">
        <v>221</v>
      </c>
      <c r="O276" s="13">
        <v>100000</v>
      </c>
      <c r="P276" s="13">
        <v>100000</v>
      </c>
      <c r="Q276" s="13">
        <v>167000</v>
      </c>
      <c r="R276" s="13">
        <v>102000</v>
      </c>
      <c r="S276" s="13">
        <v>102000</v>
      </c>
      <c r="T276" s="114">
        <v>110000</v>
      </c>
    </row>
    <row r="277" spans="1:20" x14ac:dyDescent="0.25">
      <c r="A277" s="185"/>
      <c r="B277" s="8"/>
      <c r="C277" s="10"/>
      <c r="D277" s="10"/>
      <c r="E277" s="7"/>
      <c r="F277" s="7"/>
      <c r="G277" s="7"/>
      <c r="H277" s="7"/>
      <c r="I277" s="7"/>
      <c r="J277" s="7"/>
      <c r="K277" s="44" t="s">
        <v>18</v>
      </c>
      <c r="L277" s="19" t="s">
        <v>152</v>
      </c>
      <c r="M277" s="19" t="s">
        <v>382</v>
      </c>
      <c r="N277" s="19" t="s">
        <v>221</v>
      </c>
      <c r="O277" s="13">
        <v>5121509.2</v>
      </c>
      <c r="P277" s="13">
        <v>5121509.2</v>
      </c>
      <c r="Q277" s="13">
        <v>4745883</v>
      </c>
      <c r="R277" s="13">
        <f>4768000+269000</f>
        <v>5037000</v>
      </c>
      <c r="S277" s="13">
        <f>4790000+269000</f>
        <v>5059000</v>
      </c>
      <c r="T277" s="114">
        <f>4790000+269000</f>
        <v>5059000</v>
      </c>
    </row>
    <row r="278" spans="1:20" x14ac:dyDescent="0.25">
      <c r="A278" s="185"/>
      <c r="B278" s="8"/>
      <c r="C278" s="10"/>
      <c r="D278" s="10"/>
      <c r="E278" s="7"/>
      <c r="F278" s="7"/>
      <c r="G278" s="7"/>
      <c r="H278" s="7"/>
      <c r="I278" s="7"/>
      <c r="J278" s="7"/>
      <c r="K278" s="44" t="s">
        <v>18</v>
      </c>
      <c r="L278" s="19" t="s">
        <v>152</v>
      </c>
      <c r="M278" s="19" t="s">
        <v>201</v>
      </c>
      <c r="N278" s="19" t="s">
        <v>221</v>
      </c>
      <c r="O278" s="13">
        <v>37000</v>
      </c>
      <c r="P278" s="13">
        <v>37000</v>
      </c>
      <c r="Q278" s="13">
        <v>0</v>
      </c>
      <c r="R278" s="13">
        <v>0</v>
      </c>
      <c r="S278" s="13">
        <v>0</v>
      </c>
      <c r="T278" s="114">
        <v>0</v>
      </c>
    </row>
    <row r="279" spans="1:20" ht="42" customHeight="1" x14ac:dyDescent="0.25">
      <c r="A279" s="185" t="s">
        <v>37</v>
      </c>
      <c r="B279" s="8" t="s">
        <v>135</v>
      </c>
      <c r="C279" s="10" t="s">
        <v>93</v>
      </c>
      <c r="D279" s="10" t="s">
        <v>136</v>
      </c>
      <c r="E279" s="7"/>
      <c r="F279" s="7"/>
      <c r="G279" s="7"/>
      <c r="H279" s="143" t="s">
        <v>347</v>
      </c>
      <c r="I279" s="143" t="s">
        <v>452</v>
      </c>
      <c r="J279" s="143" t="s">
        <v>464</v>
      </c>
      <c r="K279" s="144"/>
      <c r="L279" s="145"/>
      <c r="M279" s="145"/>
      <c r="N279" s="145"/>
      <c r="O279" s="129">
        <f t="shared" ref="O279:T279" si="25">SUM(O280:O282)</f>
        <v>3389132.97</v>
      </c>
      <c r="P279" s="129">
        <f t="shared" si="25"/>
        <v>3389132.97</v>
      </c>
      <c r="Q279" s="129">
        <f t="shared" si="25"/>
        <v>20607596.539999999</v>
      </c>
      <c r="R279" s="129">
        <f t="shared" si="25"/>
        <v>10639300</v>
      </c>
      <c r="S279" s="129">
        <f t="shared" si="25"/>
        <v>11639300</v>
      </c>
      <c r="T279" s="129">
        <f t="shared" si="25"/>
        <v>11639300</v>
      </c>
    </row>
    <row r="280" spans="1:20" ht="41.25" x14ac:dyDescent="0.25">
      <c r="A280" s="185"/>
      <c r="B280" s="8"/>
      <c r="C280" s="10"/>
      <c r="D280" s="10"/>
      <c r="E280" s="7"/>
      <c r="F280" s="7"/>
      <c r="G280" s="7"/>
      <c r="H280" s="7" t="s">
        <v>513</v>
      </c>
      <c r="I280" s="7"/>
      <c r="J280" s="7"/>
      <c r="K280" s="73" t="s">
        <v>152</v>
      </c>
      <c r="L280" s="74" t="s">
        <v>160</v>
      </c>
      <c r="M280" s="74" t="s">
        <v>345</v>
      </c>
      <c r="N280" s="74" t="s">
        <v>162</v>
      </c>
      <c r="O280" s="75">
        <v>3299160.74</v>
      </c>
      <c r="P280" s="75">
        <f>O280</f>
        <v>3299160.74</v>
      </c>
      <c r="Q280" s="75">
        <v>9683459.4399999995</v>
      </c>
      <c r="R280" s="130">
        <v>0</v>
      </c>
      <c r="S280" s="130">
        <v>0</v>
      </c>
      <c r="T280" s="130">
        <v>0</v>
      </c>
    </row>
    <row r="281" spans="1:20" x14ac:dyDescent="0.25">
      <c r="A281" s="185"/>
      <c r="B281" s="8"/>
      <c r="C281" s="10"/>
      <c r="D281" s="10"/>
      <c r="E281" s="7"/>
      <c r="F281" s="7"/>
      <c r="G281" s="7"/>
      <c r="H281" s="7"/>
      <c r="I281" s="7"/>
      <c r="J281" s="7"/>
      <c r="K281" s="73" t="s">
        <v>152</v>
      </c>
      <c r="L281" s="74" t="s">
        <v>160</v>
      </c>
      <c r="M281" s="74" t="s">
        <v>345</v>
      </c>
      <c r="N281" s="52" t="s">
        <v>170</v>
      </c>
      <c r="O281" s="76">
        <v>89972.23</v>
      </c>
      <c r="P281" s="75">
        <f>O281</f>
        <v>89972.23</v>
      </c>
      <c r="Q281" s="76">
        <v>284837.09999999998</v>
      </c>
      <c r="R281" s="130">
        <v>0</v>
      </c>
      <c r="S281" s="130">
        <v>0</v>
      </c>
      <c r="T281" s="130">
        <v>0</v>
      </c>
    </row>
    <row r="282" spans="1:20" x14ac:dyDescent="0.25">
      <c r="A282" s="185"/>
      <c r="B282" s="8"/>
      <c r="C282" s="10"/>
      <c r="D282" s="10"/>
      <c r="E282" s="7"/>
      <c r="F282" s="7"/>
      <c r="G282" s="7"/>
      <c r="H282" s="7"/>
      <c r="I282" s="7"/>
      <c r="J282" s="7"/>
      <c r="K282" s="73" t="s">
        <v>282</v>
      </c>
      <c r="L282" s="74" t="s">
        <v>186</v>
      </c>
      <c r="M282" s="52" t="s">
        <v>346</v>
      </c>
      <c r="N282" s="52" t="s">
        <v>162</v>
      </c>
      <c r="O282" s="76">
        <v>0</v>
      </c>
      <c r="P282" s="75">
        <v>0</v>
      </c>
      <c r="Q282" s="76">
        <v>10639300</v>
      </c>
      <c r="R282" s="76">
        <v>10639300</v>
      </c>
      <c r="S282" s="76">
        <v>11639300</v>
      </c>
      <c r="T282" s="160">
        <v>11639300</v>
      </c>
    </row>
    <row r="283" spans="1:20" ht="52.5" customHeight="1" x14ac:dyDescent="0.25">
      <c r="A283" s="185" t="s">
        <v>38</v>
      </c>
      <c r="B283" s="8" t="s">
        <v>63</v>
      </c>
      <c r="C283" s="10" t="s">
        <v>58</v>
      </c>
      <c r="D283" s="10" t="s">
        <v>64</v>
      </c>
      <c r="E283" s="7"/>
      <c r="F283" s="7"/>
      <c r="G283" s="7"/>
      <c r="H283" s="7" t="s">
        <v>171</v>
      </c>
      <c r="I283" s="7" t="s">
        <v>512</v>
      </c>
      <c r="J283" s="7" t="s">
        <v>407</v>
      </c>
      <c r="K283" s="44"/>
      <c r="L283" s="19"/>
      <c r="M283" s="19"/>
      <c r="N283" s="19"/>
      <c r="O283" s="159">
        <f t="shared" ref="O283:T283" si="26">SUM(O284:O284)</f>
        <v>0</v>
      </c>
      <c r="P283" s="159">
        <f t="shared" si="26"/>
        <v>0</v>
      </c>
      <c r="Q283" s="159">
        <f t="shared" si="26"/>
        <v>240000</v>
      </c>
      <c r="R283" s="159">
        <f t="shared" si="26"/>
        <v>250000</v>
      </c>
      <c r="S283" s="159">
        <f t="shared" si="26"/>
        <v>260000</v>
      </c>
      <c r="T283" s="159">
        <f t="shared" si="26"/>
        <v>260000</v>
      </c>
    </row>
    <row r="284" spans="1:20" ht="41.25" x14ac:dyDescent="0.25">
      <c r="A284" s="185"/>
      <c r="B284" s="8"/>
      <c r="C284" s="10"/>
      <c r="D284" s="10"/>
      <c r="E284" s="7"/>
      <c r="F284" s="7"/>
      <c r="G284" s="7"/>
      <c r="H284" s="7" t="s">
        <v>513</v>
      </c>
      <c r="I284" s="7"/>
      <c r="J284" s="7"/>
      <c r="K284" s="73" t="s">
        <v>152</v>
      </c>
      <c r="L284" s="74" t="s">
        <v>160</v>
      </c>
      <c r="M284" s="74" t="s">
        <v>335</v>
      </c>
      <c r="N284" s="74" t="s">
        <v>162</v>
      </c>
      <c r="O284" s="75">
        <v>0</v>
      </c>
      <c r="P284" s="75">
        <v>0</v>
      </c>
      <c r="Q284" s="75">
        <v>240000</v>
      </c>
      <c r="R284" s="75">
        <v>250000</v>
      </c>
      <c r="S284" s="75">
        <v>260000</v>
      </c>
      <c r="T284" s="126">
        <v>260000</v>
      </c>
    </row>
    <row r="285" spans="1:20" ht="147" x14ac:dyDescent="0.25">
      <c r="A285" s="146" t="s">
        <v>33</v>
      </c>
      <c r="B285" s="8" t="s">
        <v>57</v>
      </c>
      <c r="C285" s="10" t="s">
        <v>137</v>
      </c>
      <c r="D285" s="10" t="s">
        <v>61</v>
      </c>
      <c r="E285" s="24" t="s">
        <v>454</v>
      </c>
      <c r="F285" s="25"/>
      <c r="G285" s="26" t="s">
        <v>455</v>
      </c>
      <c r="H285" s="7" t="s">
        <v>395</v>
      </c>
      <c r="I285" s="7" t="s">
        <v>453</v>
      </c>
      <c r="J285" s="7" t="s">
        <v>463</v>
      </c>
      <c r="K285" s="44" t="s">
        <v>152</v>
      </c>
      <c r="L285" s="19" t="s">
        <v>180</v>
      </c>
      <c r="M285" s="19" t="s">
        <v>380</v>
      </c>
      <c r="N285" s="19" t="s">
        <v>162</v>
      </c>
      <c r="O285" s="112">
        <v>4476500</v>
      </c>
      <c r="P285" s="112">
        <v>4476500</v>
      </c>
      <c r="Q285" s="112">
        <v>0</v>
      </c>
      <c r="R285" s="112">
        <v>0</v>
      </c>
      <c r="S285" s="112">
        <v>0</v>
      </c>
      <c r="T285" s="113">
        <v>0</v>
      </c>
    </row>
    <row r="286" spans="1:20" ht="41.25" customHeight="1" x14ac:dyDescent="0.25">
      <c r="A286" s="185" t="s">
        <v>34</v>
      </c>
      <c r="B286" s="6" t="s">
        <v>57</v>
      </c>
      <c r="C286" s="9" t="s">
        <v>138</v>
      </c>
      <c r="D286" s="9" t="s">
        <v>61</v>
      </c>
      <c r="E286" s="7"/>
      <c r="F286" s="7"/>
      <c r="G286" s="7"/>
      <c r="H286" s="7" t="s">
        <v>421</v>
      </c>
      <c r="I286" s="7" t="s">
        <v>58</v>
      </c>
      <c r="J286" s="7" t="s">
        <v>471</v>
      </c>
      <c r="K286" s="44"/>
      <c r="L286" s="19"/>
      <c r="M286" s="19"/>
      <c r="N286" s="19"/>
      <c r="O286" s="159">
        <f>SUM(O287:O289)</f>
        <v>9741635</v>
      </c>
      <c r="P286" s="159">
        <f t="shared" ref="P286:T286" si="27">SUM(P287:P289)</f>
        <v>9741635</v>
      </c>
      <c r="Q286" s="159">
        <f t="shared" si="27"/>
        <v>10204092.800000001</v>
      </c>
      <c r="R286" s="159">
        <f t="shared" si="27"/>
        <v>10183167</v>
      </c>
      <c r="S286" s="159">
        <f t="shared" si="27"/>
        <v>10233872</v>
      </c>
      <c r="T286" s="159">
        <f t="shared" si="27"/>
        <v>10196872</v>
      </c>
    </row>
    <row r="287" spans="1:20" ht="60" customHeight="1" x14ac:dyDescent="0.25">
      <c r="A287" s="185"/>
      <c r="B287" s="8" t="s">
        <v>139</v>
      </c>
      <c r="C287" s="10" t="s">
        <v>58</v>
      </c>
      <c r="D287" s="10" t="s">
        <v>140</v>
      </c>
      <c r="E287" s="7"/>
      <c r="F287" s="7"/>
      <c r="G287" s="7"/>
      <c r="H287" s="38" t="s">
        <v>381</v>
      </c>
      <c r="I287" s="7"/>
      <c r="J287" s="7" t="s">
        <v>483</v>
      </c>
      <c r="K287" s="44" t="s">
        <v>18</v>
      </c>
      <c r="L287" s="19" t="s">
        <v>186</v>
      </c>
      <c r="M287" s="19" t="s">
        <v>382</v>
      </c>
      <c r="N287" s="19" t="s">
        <v>221</v>
      </c>
      <c r="O287" s="13">
        <v>94074.34</v>
      </c>
      <c r="P287" s="13">
        <v>94074.34</v>
      </c>
      <c r="Q287" s="13">
        <v>228664.8</v>
      </c>
      <c r="R287" s="13">
        <v>193000</v>
      </c>
      <c r="S287" s="13">
        <v>230000</v>
      </c>
      <c r="T287" s="114">
        <v>193000</v>
      </c>
    </row>
    <row r="288" spans="1:20" ht="22.5" customHeight="1" x14ac:dyDescent="0.25">
      <c r="A288" s="185"/>
      <c r="B288" s="8"/>
      <c r="C288" s="10"/>
      <c r="D288" s="10"/>
      <c r="E288" s="7"/>
      <c r="F288" s="7"/>
      <c r="G288" s="7"/>
      <c r="H288" s="7"/>
      <c r="I288" s="7"/>
      <c r="J288" s="7"/>
      <c r="K288" s="44" t="s">
        <v>18</v>
      </c>
      <c r="L288" s="19" t="s">
        <v>186</v>
      </c>
      <c r="M288" s="19" t="s">
        <v>382</v>
      </c>
      <c r="N288" s="19" t="s">
        <v>221</v>
      </c>
      <c r="O288" s="13">
        <v>9572440.6600000001</v>
      </c>
      <c r="P288" s="13">
        <v>9572440.6600000001</v>
      </c>
      <c r="Q288" s="13">
        <v>9975428</v>
      </c>
      <c r="R288" s="13">
        <v>9990167</v>
      </c>
      <c r="S288" s="13">
        <v>10003872</v>
      </c>
      <c r="T288" s="114">
        <v>10003872</v>
      </c>
    </row>
    <row r="289" spans="1:22" ht="23.25" customHeight="1" x14ac:dyDescent="0.25">
      <c r="A289" s="185"/>
      <c r="B289" s="8"/>
      <c r="C289" s="10"/>
      <c r="D289" s="10"/>
      <c r="E289" s="7"/>
      <c r="F289" s="7"/>
      <c r="G289" s="7"/>
      <c r="H289" s="7"/>
      <c r="I289" s="7"/>
      <c r="J289" s="7"/>
      <c r="K289" s="44" t="s">
        <v>18</v>
      </c>
      <c r="L289" s="19" t="s">
        <v>186</v>
      </c>
      <c r="M289" s="19" t="s">
        <v>201</v>
      </c>
      <c r="N289" s="19" t="s">
        <v>221</v>
      </c>
      <c r="O289" s="13">
        <v>75120</v>
      </c>
      <c r="P289" s="13">
        <v>75120</v>
      </c>
      <c r="Q289" s="13">
        <v>0</v>
      </c>
      <c r="R289" s="13">
        <v>0</v>
      </c>
      <c r="S289" s="13">
        <v>0</v>
      </c>
      <c r="T289" s="114">
        <v>0</v>
      </c>
    </row>
    <row r="290" spans="1:22" ht="41.25" customHeight="1" x14ac:dyDescent="0.25">
      <c r="A290" s="185" t="s">
        <v>35</v>
      </c>
      <c r="B290" s="6" t="s">
        <v>57</v>
      </c>
      <c r="C290" s="9" t="s">
        <v>141</v>
      </c>
      <c r="D290" s="9" t="s">
        <v>61</v>
      </c>
      <c r="E290" s="8" t="s">
        <v>144</v>
      </c>
      <c r="F290" s="10" t="s">
        <v>93</v>
      </c>
      <c r="G290" s="10" t="s">
        <v>145</v>
      </c>
      <c r="H290" s="143" t="s">
        <v>347</v>
      </c>
      <c r="I290" s="143" t="s">
        <v>456</v>
      </c>
      <c r="J290" s="143" t="s">
        <v>464</v>
      </c>
      <c r="K290" s="44"/>
      <c r="L290" s="19"/>
      <c r="M290" s="19"/>
      <c r="N290" s="19"/>
      <c r="O290" s="159">
        <f>SUM(O291:O295)</f>
        <v>8283662.0800000001</v>
      </c>
      <c r="P290" s="159">
        <f t="shared" ref="P290:T290" si="28">SUM(P291:P295)</f>
        <v>8262796.3300000001</v>
      </c>
      <c r="Q290" s="159">
        <f t="shared" si="28"/>
        <v>8626900</v>
      </c>
      <c r="R290" s="159">
        <f t="shared" si="28"/>
        <v>6722500</v>
      </c>
      <c r="S290" s="159">
        <f t="shared" si="28"/>
        <v>8722500</v>
      </c>
      <c r="T290" s="159">
        <f t="shared" si="28"/>
        <v>8722500</v>
      </c>
    </row>
    <row r="291" spans="1:22" ht="41.25" x14ac:dyDescent="0.25">
      <c r="A291" s="185"/>
      <c r="B291" s="8" t="s">
        <v>142</v>
      </c>
      <c r="C291" s="10" t="s">
        <v>58</v>
      </c>
      <c r="D291" s="10" t="s">
        <v>143</v>
      </c>
      <c r="E291" s="33"/>
      <c r="F291" s="33"/>
      <c r="G291" s="33"/>
      <c r="H291" s="7"/>
      <c r="I291" s="7"/>
      <c r="J291" s="7"/>
      <c r="K291" s="70" t="s">
        <v>282</v>
      </c>
      <c r="L291" s="71" t="s">
        <v>186</v>
      </c>
      <c r="M291" s="55" t="s">
        <v>328</v>
      </c>
      <c r="N291" s="71" t="s">
        <v>222</v>
      </c>
      <c r="O291" s="130">
        <v>100000</v>
      </c>
      <c r="P291" s="130">
        <v>98035.6</v>
      </c>
      <c r="Q291" s="130">
        <f>200000</f>
        <v>200000</v>
      </c>
      <c r="R291" s="130">
        <v>200000</v>
      </c>
      <c r="S291" s="130">
        <v>0</v>
      </c>
      <c r="T291" s="130">
        <v>0</v>
      </c>
    </row>
    <row r="292" spans="1:22" x14ac:dyDescent="0.25">
      <c r="A292" s="185"/>
      <c r="B292" s="8"/>
      <c r="C292" s="10"/>
      <c r="D292" s="10"/>
      <c r="E292" s="33"/>
      <c r="F292" s="33"/>
      <c r="G292" s="33"/>
      <c r="H292" s="7"/>
      <c r="I292" s="7"/>
      <c r="J292" s="7"/>
      <c r="K292" s="70" t="s">
        <v>282</v>
      </c>
      <c r="L292" s="71" t="s">
        <v>186</v>
      </c>
      <c r="M292" s="55" t="s">
        <v>329</v>
      </c>
      <c r="N292" s="71" t="s">
        <v>162</v>
      </c>
      <c r="O292" s="130">
        <v>62000</v>
      </c>
      <c r="P292" s="130">
        <v>43169.83</v>
      </c>
      <c r="Q292" s="130">
        <f>22500</f>
        <v>22500</v>
      </c>
      <c r="R292" s="130">
        <v>22500</v>
      </c>
      <c r="S292" s="130">
        <v>0</v>
      </c>
      <c r="T292" s="130">
        <v>0</v>
      </c>
    </row>
    <row r="293" spans="1:22" x14ac:dyDescent="0.25">
      <c r="A293" s="185"/>
      <c r="B293" s="8"/>
      <c r="C293" s="10"/>
      <c r="D293" s="10"/>
      <c r="E293" s="33"/>
      <c r="F293" s="33"/>
      <c r="G293" s="33"/>
      <c r="H293" s="7"/>
      <c r="I293" s="7"/>
      <c r="J293" s="7"/>
      <c r="K293" s="70" t="s">
        <v>282</v>
      </c>
      <c r="L293" s="71" t="s">
        <v>186</v>
      </c>
      <c r="M293" s="55" t="s">
        <v>330</v>
      </c>
      <c r="N293" s="71" t="s">
        <v>162</v>
      </c>
      <c r="O293" s="130">
        <v>2984880</v>
      </c>
      <c r="P293" s="130">
        <v>2984878.89</v>
      </c>
      <c r="Q293" s="130">
        <f>5000000</f>
        <v>5000000</v>
      </c>
      <c r="R293" s="130">
        <v>3000000</v>
      </c>
      <c r="S293" s="130">
        <v>5222500</v>
      </c>
      <c r="T293" s="130">
        <v>5222500</v>
      </c>
    </row>
    <row r="294" spans="1:22" x14ac:dyDescent="0.25">
      <c r="A294" s="185"/>
      <c r="B294" s="8"/>
      <c r="C294" s="10"/>
      <c r="D294" s="10"/>
      <c r="E294" s="33"/>
      <c r="F294" s="33"/>
      <c r="G294" s="33"/>
      <c r="H294" s="7"/>
      <c r="I294" s="7"/>
      <c r="J294" s="7"/>
      <c r="K294" s="70" t="s">
        <v>282</v>
      </c>
      <c r="L294" s="71" t="s">
        <v>186</v>
      </c>
      <c r="M294" s="55" t="s">
        <v>331</v>
      </c>
      <c r="N294" s="71" t="s">
        <v>162</v>
      </c>
      <c r="O294" s="130">
        <v>3219382.08</v>
      </c>
      <c r="P294" s="130">
        <v>3219382.08</v>
      </c>
      <c r="Q294" s="130">
        <f>3404400</f>
        <v>3404400</v>
      </c>
      <c r="R294" s="130">
        <v>3500000</v>
      </c>
      <c r="S294" s="130">
        <v>3500000</v>
      </c>
      <c r="T294" s="130">
        <v>3500000</v>
      </c>
    </row>
    <row r="295" spans="1:22" x14ac:dyDescent="0.25">
      <c r="A295" s="185"/>
      <c r="B295" s="8"/>
      <c r="C295" s="10"/>
      <c r="D295" s="10"/>
      <c r="E295" s="33"/>
      <c r="F295" s="33"/>
      <c r="G295" s="33"/>
      <c r="H295" s="7"/>
      <c r="I295" s="7"/>
      <c r="J295" s="7"/>
      <c r="K295" s="70" t="s">
        <v>282</v>
      </c>
      <c r="L295" s="71" t="s">
        <v>186</v>
      </c>
      <c r="M295" s="55" t="s">
        <v>332</v>
      </c>
      <c r="N295" s="71" t="s">
        <v>300</v>
      </c>
      <c r="O295" s="130">
        <v>1917400</v>
      </c>
      <c r="P295" s="130">
        <v>1917329.93</v>
      </c>
      <c r="Q295" s="130">
        <v>0</v>
      </c>
      <c r="R295" s="130">
        <v>0</v>
      </c>
      <c r="S295" s="130">
        <v>0</v>
      </c>
      <c r="T295" s="130">
        <v>0</v>
      </c>
    </row>
    <row r="296" spans="1:22" s="95" customFormat="1" ht="14.25" x14ac:dyDescent="0.2">
      <c r="A296" s="187" t="s">
        <v>39</v>
      </c>
      <c r="B296" s="187"/>
      <c r="C296" s="187"/>
      <c r="D296" s="187"/>
      <c r="E296" s="187"/>
      <c r="F296" s="187"/>
      <c r="G296" s="187"/>
      <c r="H296" s="187"/>
      <c r="I296" s="187"/>
      <c r="J296" s="187"/>
      <c r="K296" s="187"/>
      <c r="L296" s="187"/>
      <c r="M296" s="187"/>
      <c r="N296" s="187"/>
      <c r="O296" s="98">
        <f>O297+O305</f>
        <v>17872358.59</v>
      </c>
      <c r="P296" s="98">
        <f t="shared" ref="P296:T296" si="29">P297+P305</f>
        <v>17785684.52</v>
      </c>
      <c r="Q296" s="98">
        <f t="shared" si="29"/>
        <v>20493401</v>
      </c>
      <c r="R296" s="98">
        <f>R297+R305</f>
        <v>20241540</v>
      </c>
      <c r="S296" s="98">
        <f t="shared" si="29"/>
        <v>18401986</v>
      </c>
      <c r="T296" s="98">
        <f t="shared" si="29"/>
        <v>19435775</v>
      </c>
      <c r="U296" s="119"/>
      <c r="V296" s="119"/>
    </row>
    <row r="297" spans="1:22" s="99" customFormat="1" x14ac:dyDescent="0.25">
      <c r="A297" s="188" t="s">
        <v>40</v>
      </c>
      <c r="B297" s="188"/>
      <c r="C297" s="188"/>
      <c r="D297" s="188"/>
      <c r="E297" s="188"/>
      <c r="F297" s="188"/>
      <c r="G297" s="188"/>
      <c r="H297" s="188"/>
      <c r="I297" s="188"/>
      <c r="J297" s="188"/>
      <c r="K297" s="188"/>
      <c r="L297" s="188"/>
      <c r="M297" s="188"/>
      <c r="N297" s="188"/>
      <c r="O297" s="46">
        <f>O298+O303</f>
        <v>13582580.529999999</v>
      </c>
      <c r="P297" s="46">
        <f t="shared" ref="P297:T297" si="30">P298+P303</f>
        <v>13566380.1</v>
      </c>
      <c r="Q297" s="46">
        <f t="shared" si="30"/>
        <v>17982476</v>
      </c>
      <c r="R297" s="46">
        <f>R298+R303</f>
        <v>17843600</v>
      </c>
      <c r="S297" s="46">
        <f t="shared" si="30"/>
        <v>16388046</v>
      </c>
      <c r="T297" s="46">
        <f t="shared" si="30"/>
        <v>17008475</v>
      </c>
      <c r="U297" s="122"/>
      <c r="V297" s="122"/>
    </row>
    <row r="298" spans="1:22" s="47" customFormat="1" ht="49.5" x14ac:dyDescent="0.25">
      <c r="A298" s="147" t="s">
        <v>41</v>
      </c>
      <c r="B298" s="6" t="s">
        <v>57</v>
      </c>
      <c r="C298" s="9" t="s">
        <v>146</v>
      </c>
      <c r="D298" s="9" t="s">
        <v>61</v>
      </c>
      <c r="E298" s="6" t="s">
        <v>103</v>
      </c>
      <c r="F298" s="39"/>
      <c r="G298" s="39"/>
      <c r="H298" s="39" t="s">
        <v>395</v>
      </c>
      <c r="I298" s="39" t="s">
        <v>457</v>
      </c>
      <c r="J298" s="7" t="s">
        <v>463</v>
      </c>
      <c r="K298" s="148"/>
      <c r="L298" s="149"/>
      <c r="M298" s="149"/>
      <c r="N298" s="149"/>
      <c r="O298" s="161">
        <f>SUM(O299:O302)</f>
        <v>11470706.59</v>
      </c>
      <c r="P298" s="161">
        <f t="shared" ref="P298:T298" si="31">SUM(P299:P302)</f>
        <v>11454506.59</v>
      </c>
      <c r="Q298" s="161">
        <f t="shared" si="31"/>
        <v>14644400</v>
      </c>
      <c r="R298" s="161">
        <f>SUM(R299:R302)</f>
        <v>14843600</v>
      </c>
      <c r="S298" s="161">
        <f t="shared" si="31"/>
        <v>15388046</v>
      </c>
      <c r="T298" s="161">
        <f t="shared" si="31"/>
        <v>16008475</v>
      </c>
      <c r="U298" s="123"/>
      <c r="V298" s="123"/>
    </row>
    <row r="299" spans="1:22" s="47" customFormat="1" ht="57.75" x14ac:dyDescent="0.25">
      <c r="A299" s="150"/>
      <c r="B299" s="151"/>
      <c r="C299" s="152"/>
      <c r="D299" s="152"/>
      <c r="E299" s="151"/>
      <c r="F299" s="40"/>
      <c r="G299" s="40"/>
      <c r="H299" s="20" t="s">
        <v>340</v>
      </c>
      <c r="I299" s="7" t="s">
        <v>268</v>
      </c>
      <c r="J299" s="7" t="s">
        <v>407</v>
      </c>
      <c r="K299" s="44" t="s">
        <v>238</v>
      </c>
      <c r="L299" s="19" t="s">
        <v>152</v>
      </c>
      <c r="M299" s="19" t="s">
        <v>270</v>
      </c>
      <c r="N299" s="19" t="s">
        <v>221</v>
      </c>
      <c r="O299" s="13">
        <v>11191349.199999999</v>
      </c>
      <c r="P299" s="13">
        <v>11191349.199999999</v>
      </c>
      <c r="Q299" s="13">
        <v>14444400</v>
      </c>
      <c r="R299" s="13">
        <v>14584600</v>
      </c>
      <c r="S299" s="13">
        <v>15129046</v>
      </c>
      <c r="T299" s="13">
        <v>15749475</v>
      </c>
      <c r="U299" s="123"/>
      <c r="V299" s="123"/>
    </row>
    <row r="300" spans="1:22" s="47" customFormat="1" ht="66" x14ac:dyDescent="0.25">
      <c r="A300" s="150"/>
      <c r="B300" s="151"/>
      <c r="C300" s="152"/>
      <c r="D300" s="152"/>
      <c r="E300" s="151"/>
      <c r="F300" s="40"/>
      <c r="G300" s="40"/>
      <c r="H300" s="38" t="s">
        <v>235</v>
      </c>
      <c r="I300" s="7" t="s">
        <v>236</v>
      </c>
      <c r="J300" s="39" t="s">
        <v>483</v>
      </c>
      <c r="K300" s="44" t="s">
        <v>238</v>
      </c>
      <c r="L300" s="19" t="s">
        <v>152</v>
      </c>
      <c r="M300" s="19" t="s">
        <v>271</v>
      </c>
      <c r="N300" s="19" t="s">
        <v>221</v>
      </c>
      <c r="O300" s="13">
        <v>113061.39</v>
      </c>
      <c r="P300" s="13">
        <v>113061.39</v>
      </c>
      <c r="Q300" s="13">
        <v>200000</v>
      </c>
      <c r="R300" s="13">
        <v>250000</v>
      </c>
      <c r="S300" s="13">
        <v>250000</v>
      </c>
      <c r="T300" s="13">
        <v>250000</v>
      </c>
      <c r="U300" s="123"/>
      <c r="V300" s="123"/>
    </row>
    <row r="301" spans="1:22" s="47" customFormat="1" ht="41.25" x14ac:dyDescent="0.25">
      <c r="A301" s="150"/>
      <c r="B301" s="151"/>
      <c r="C301" s="152"/>
      <c r="D301" s="152"/>
      <c r="E301" s="151"/>
      <c r="F301" s="40"/>
      <c r="G301" s="40"/>
      <c r="H301" s="7" t="s">
        <v>421</v>
      </c>
      <c r="I301" s="7" t="s">
        <v>58</v>
      </c>
      <c r="J301" s="7" t="s">
        <v>471</v>
      </c>
      <c r="K301" s="101" t="s">
        <v>238</v>
      </c>
      <c r="L301" s="102" t="s">
        <v>153</v>
      </c>
      <c r="M301" s="102" t="s">
        <v>269</v>
      </c>
      <c r="N301" s="102" t="s">
        <v>221</v>
      </c>
      <c r="O301" s="58">
        <v>0</v>
      </c>
      <c r="P301" s="58">
        <v>0</v>
      </c>
      <c r="Q301" s="58">
        <v>0</v>
      </c>
      <c r="R301" s="58">
        <v>9000</v>
      </c>
      <c r="S301" s="58">
        <v>9000</v>
      </c>
      <c r="T301" s="58">
        <v>9000</v>
      </c>
      <c r="U301" s="123"/>
      <c r="V301" s="123"/>
    </row>
    <row r="302" spans="1:22" s="47" customFormat="1" x14ac:dyDescent="0.25">
      <c r="A302" s="150"/>
      <c r="B302" s="151"/>
      <c r="C302" s="152"/>
      <c r="D302" s="152"/>
      <c r="E302" s="151"/>
      <c r="F302" s="40"/>
      <c r="G302" s="40"/>
      <c r="H302" s="40"/>
      <c r="I302" s="40"/>
      <c r="J302" s="7"/>
      <c r="K302" s="101" t="s">
        <v>238</v>
      </c>
      <c r="L302" s="102" t="s">
        <v>153</v>
      </c>
      <c r="M302" s="102" t="s">
        <v>201</v>
      </c>
      <c r="N302" s="102" t="s">
        <v>221</v>
      </c>
      <c r="O302" s="58">
        <v>166296</v>
      </c>
      <c r="P302" s="58">
        <v>150096</v>
      </c>
      <c r="Q302" s="58">
        <v>0</v>
      </c>
      <c r="R302" s="58">
        <v>0</v>
      </c>
      <c r="S302" s="58">
        <v>0</v>
      </c>
      <c r="T302" s="58">
        <v>0</v>
      </c>
      <c r="U302" s="123"/>
      <c r="V302" s="123"/>
    </row>
    <row r="303" spans="1:22" ht="49.5" x14ac:dyDescent="0.25">
      <c r="A303" s="185" t="s">
        <v>42</v>
      </c>
      <c r="B303" s="8" t="s">
        <v>57</v>
      </c>
      <c r="C303" s="10" t="s">
        <v>147</v>
      </c>
      <c r="D303" s="10" t="s">
        <v>61</v>
      </c>
      <c r="E303" s="8" t="s">
        <v>148</v>
      </c>
      <c r="F303" s="7"/>
      <c r="G303" s="7"/>
      <c r="H303" s="39" t="s">
        <v>395</v>
      </c>
      <c r="I303" s="39" t="s">
        <v>458</v>
      </c>
      <c r="J303" s="7" t="s">
        <v>463</v>
      </c>
      <c r="K303" s="128" t="s">
        <v>153</v>
      </c>
      <c r="L303" s="71" t="s">
        <v>282</v>
      </c>
      <c r="M303" s="55" t="s">
        <v>333</v>
      </c>
      <c r="N303" s="71" t="s">
        <v>162</v>
      </c>
      <c r="O303" s="129">
        <v>2111873.94</v>
      </c>
      <c r="P303" s="129">
        <v>2111873.5099999998</v>
      </c>
      <c r="Q303" s="129">
        <v>3338076</v>
      </c>
      <c r="R303" s="129">
        <v>3000000</v>
      </c>
      <c r="S303" s="129">
        <v>1000000</v>
      </c>
      <c r="T303" s="129">
        <v>1000000</v>
      </c>
    </row>
    <row r="304" spans="1:22" ht="41.25" x14ac:dyDescent="0.25">
      <c r="A304" s="185"/>
      <c r="B304" s="8"/>
      <c r="C304" s="10"/>
      <c r="D304" s="10"/>
      <c r="E304" s="8"/>
      <c r="F304" s="7"/>
      <c r="G304" s="7"/>
      <c r="H304" s="39" t="s">
        <v>540</v>
      </c>
      <c r="I304" s="39"/>
      <c r="J304" s="7" t="s">
        <v>541</v>
      </c>
      <c r="K304" s="128"/>
      <c r="L304" s="71"/>
      <c r="M304" s="55"/>
      <c r="N304" s="71"/>
      <c r="O304" s="129"/>
      <c r="P304" s="129"/>
      <c r="Q304" s="129"/>
      <c r="R304" s="129"/>
      <c r="S304" s="129"/>
      <c r="T304" s="129"/>
    </row>
    <row r="305" spans="1:22" s="2" customFormat="1" ht="14.25" customHeight="1" x14ac:dyDescent="0.2">
      <c r="A305" s="186" t="s">
        <v>43</v>
      </c>
      <c r="B305" s="186"/>
      <c r="C305" s="186"/>
      <c r="D305" s="186"/>
      <c r="E305" s="186"/>
      <c r="F305" s="186"/>
      <c r="G305" s="186"/>
      <c r="H305" s="186"/>
      <c r="I305" s="186"/>
      <c r="J305" s="186"/>
      <c r="K305" s="186"/>
      <c r="L305" s="186"/>
      <c r="M305" s="186"/>
      <c r="N305" s="186"/>
      <c r="O305" s="159">
        <f>O306</f>
        <v>4289778.0600000005</v>
      </c>
      <c r="P305" s="159">
        <f t="shared" ref="P305:T305" si="32">P306</f>
        <v>4219304.42</v>
      </c>
      <c r="Q305" s="159">
        <f t="shared" si="32"/>
        <v>2510925</v>
      </c>
      <c r="R305" s="159">
        <f t="shared" si="32"/>
        <v>2397940</v>
      </c>
      <c r="S305" s="159">
        <f t="shared" si="32"/>
        <v>2013940</v>
      </c>
      <c r="T305" s="159">
        <f t="shared" si="32"/>
        <v>2427300</v>
      </c>
      <c r="U305" s="121"/>
      <c r="V305" s="121"/>
    </row>
    <row r="306" spans="1:22" ht="42.75" customHeight="1" x14ac:dyDescent="0.25">
      <c r="A306" s="185" t="s">
        <v>44</v>
      </c>
      <c r="B306" s="23" t="s">
        <v>57</v>
      </c>
      <c r="C306" s="37" t="s">
        <v>490</v>
      </c>
      <c r="D306" s="43" t="s">
        <v>61</v>
      </c>
      <c r="E306" s="7"/>
      <c r="F306" s="7"/>
      <c r="G306" s="7"/>
      <c r="H306" s="7" t="s">
        <v>250</v>
      </c>
      <c r="I306" s="7" t="s">
        <v>459</v>
      </c>
      <c r="J306" s="7" t="s">
        <v>407</v>
      </c>
      <c r="K306" s="44"/>
      <c r="L306" s="19"/>
      <c r="M306" s="19"/>
      <c r="N306" s="19"/>
      <c r="O306" s="159">
        <f>SUM(O307:O320)</f>
        <v>4289778.0600000005</v>
      </c>
      <c r="P306" s="159">
        <f t="shared" ref="P306:T306" si="33">SUM(P307:P320)</f>
        <v>4219304.42</v>
      </c>
      <c r="Q306" s="159">
        <f t="shared" si="33"/>
        <v>2510925</v>
      </c>
      <c r="R306" s="159">
        <f t="shared" si="33"/>
        <v>2397940</v>
      </c>
      <c r="S306" s="159">
        <f t="shared" si="33"/>
        <v>2013940</v>
      </c>
      <c r="T306" s="159">
        <f t="shared" si="33"/>
        <v>2427300</v>
      </c>
      <c r="U306" s="115"/>
    </row>
    <row r="307" spans="1:22" ht="57" customHeight="1" x14ac:dyDescent="0.25">
      <c r="A307" s="185"/>
      <c r="B307" s="7"/>
      <c r="C307" s="7"/>
      <c r="D307" s="7"/>
      <c r="E307" s="7"/>
      <c r="F307" s="7"/>
      <c r="G307" s="7"/>
      <c r="H307" s="100" t="s">
        <v>491</v>
      </c>
      <c r="I307" s="100" t="s">
        <v>58</v>
      </c>
      <c r="J307" s="100" t="s">
        <v>492</v>
      </c>
      <c r="K307" s="44" t="s">
        <v>243</v>
      </c>
      <c r="L307" s="19" t="s">
        <v>195</v>
      </c>
      <c r="M307" s="19" t="s">
        <v>384</v>
      </c>
      <c r="N307" s="19" t="s">
        <v>222</v>
      </c>
      <c r="O307" s="13">
        <v>0</v>
      </c>
      <c r="P307" s="13">
        <v>0</v>
      </c>
      <c r="Q307" s="13">
        <v>68500</v>
      </c>
      <c r="R307" s="13">
        <v>71000</v>
      </c>
      <c r="S307" s="13">
        <v>71000</v>
      </c>
      <c r="T307" s="114">
        <v>71000</v>
      </c>
    </row>
    <row r="308" spans="1:22" ht="41.25" x14ac:dyDescent="0.25">
      <c r="A308" s="185"/>
      <c r="B308" s="7"/>
      <c r="C308" s="7"/>
      <c r="D308" s="7"/>
      <c r="E308" s="7"/>
      <c r="F308" s="7"/>
      <c r="G308" s="7"/>
      <c r="H308" s="100" t="s">
        <v>493</v>
      </c>
      <c r="I308" s="100" t="s">
        <v>58</v>
      </c>
      <c r="J308" s="100" t="s">
        <v>494</v>
      </c>
      <c r="K308" s="44" t="s">
        <v>243</v>
      </c>
      <c r="L308" s="19" t="s">
        <v>195</v>
      </c>
      <c r="M308" s="19" t="s">
        <v>384</v>
      </c>
      <c r="N308" s="19" t="s">
        <v>221</v>
      </c>
      <c r="O308" s="58">
        <v>1376101.06</v>
      </c>
      <c r="P308" s="58">
        <v>1376101.06</v>
      </c>
      <c r="Q308" s="13">
        <v>200000</v>
      </c>
      <c r="R308" s="13">
        <v>300000</v>
      </c>
      <c r="S308" s="13">
        <v>0</v>
      </c>
      <c r="T308" s="114">
        <v>0</v>
      </c>
    </row>
    <row r="309" spans="1:22" ht="66" customHeight="1" x14ac:dyDescent="0.25">
      <c r="A309" s="185"/>
      <c r="B309" s="7"/>
      <c r="C309" s="7"/>
      <c r="D309" s="7"/>
      <c r="E309" s="7"/>
      <c r="F309" s="7"/>
      <c r="G309" s="7"/>
      <c r="H309" s="100" t="s">
        <v>495</v>
      </c>
      <c r="I309" s="100" t="s">
        <v>58</v>
      </c>
      <c r="J309" s="100" t="s">
        <v>494</v>
      </c>
      <c r="K309" s="44" t="s">
        <v>243</v>
      </c>
      <c r="L309" s="19" t="s">
        <v>195</v>
      </c>
      <c r="M309" s="19" t="s">
        <v>385</v>
      </c>
      <c r="N309" s="19" t="s">
        <v>222</v>
      </c>
      <c r="O309" s="58">
        <v>606710</v>
      </c>
      <c r="P309" s="58">
        <v>606710</v>
      </c>
      <c r="Q309" s="13">
        <v>150000</v>
      </c>
      <c r="R309" s="13">
        <v>140000</v>
      </c>
      <c r="S309" s="13">
        <v>140000</v>
      </c>
      <c r="T309" s="114">
        <v>140000</v>
      </c>
    </row>
    <row r="310" spans="1:22" ht="33" x14ac:dyDescent="0.25">
      <c r="A310" s="185"/>
      <c r="B310" s="7"/>
      <c r="C310" s="7"/>
      <c r="D310" s="7"/>
      <c r="E310" s="7"/>
      <c r="F310" s="7"/>
      <c r="G310" s="7"/>
      <c r="H310" s="100" t="s">
        <v>496</v>
      </c>
      <c r="I310" s="100" t="s">
        <v>58</v>
      </c>
      <c r="J310" s="100" t="s">
        <v>497</v>
      </c>
      <c r="K310" s="44" t="s">
        <v>243</v>
      </c>
      <c r="L310" s="19" t="s">
        <v>195</v>
      </c>
      <c r="M310" s="19" t="s">
        <v>386</v>
      </c>
      <c r="N310" s="19" t="s">
        <v>162</v>
      </c>
      <c r="O310" s="58">
        <v>0</v>
      </c>
      <c r="P310" s="58">
        <v>0</v>
      </c>
      <c r="Q310" s="13">
        <v>20325</v>
      </c>
      <c r="R310" s="13">
        <f>18000+84000</f>
        <v>102000</v>
      </c>
      <c r="S310" s="13">
        <v>18000</v>
      </c>
      <c r="T310" s="114">
        <v>18000</v>
      </c>
    </row>
    <row r="311" spans="1:22" ht="41.25" x14ac:dyDescent="0.25">
      <c r="A311" s="185"/>
      <c r="B311" s="7"/>
      <c r="C311" s="7"/>
      <c r="D311" s="7"/>
      <c r="E311" s="7"/>
      <c r="F311" s="7"/>
      <c r="G311" s="7"/>
      <c r="H311" s="100" t="s">
        <v>498</v>
      </c>
      <c r="I311" s="100" t="s">
        <v>58</v>
      </c>
      <c r="J311" s="100" t="s">
        <v>499</v>
      </c>
      <c r="K311" s="44" t="s">
        <v>243</v>
      </c>
      <c r="L311" s="19" t="s">
        <v>195</v>
      </c>
      <c r="M311" s="19" t="s">
        <v>387</v>
      </c>
      <c r="N311" s="19" t="s">
        <v>222</v>
      </c>
      <c r="O311" s="58">
        <v>0</v>
      </c>
      <c r="P311" s="58">
        <v>0</v>
      </c>
      <c r="Q311" s="13">
        <v>403800</v>
      </c>
      <c r="R311" s="13">
        <v>489100</v>
      </c>
      <c r="S311" s="13">
        <v>489100</v>
      </c>
      <c r="T311" s="114">
        <v>600000</v>
      </c>
    </row>
    <row r="312" spans="1:22" x14ac:dyDescent="0.25">
      <c r="A312" s="185"/>
      <c r="B312" s="7"/>
      <c r="C312" s="7"/>
      <c r="D312" s="7"/>
      <c r="E312" s="7"/>
      <c r="F312" s="7"/>
      <c r="G312" s="7"/>
      <c r="H312" s="7"/>
      <c r="I312" s="7"/>
      <c r="J312" s="7"/>
      <c r="K312" s="44" t="s">
        <v>243</v>
      </c>
      <c r="L312" s="19" t="s">
        <v>195</v>
      </c>
      <c r="M312" s="19" t="s">
        <v>388</v>
      </c>
      <c r="N312" s="19" t="s">
        <v>162</v>
      </c>
      <c r="O312" s="58">
        <v>254700</v>
      </c>
      <c r="P312" s="58">
        <v>252041.4</v>
      </c>
      <c r="Q312" s="13">
        <v>100600</v>
      </c>
      <c r="R312" s="13">
        <v>34600</v>
      </c>
      <c r="S312" s="13">
        <v>34600</v>
      </c>
      <c r="T312" s="114">
        <v>51000</v>
      </c>
    </row>
    <row r="313" spans="1:22" x14ac:dyDescent="0.25">
      <c r="A313" s="185"/>
      <c r="B313" s="7"/>
      <c r="C313" s="7"/>
      <c r="D313" s="7"/>
      <c r="E313" s="7"/>
      <c r="F313" s="7"/>
      <c r="G313" s="7"/>
      <c r="H313" s="7"/>
      <c r="I313" s="7"/>
      <c r="J313" s="7"/>
      <c r="K313" s="44" t="s">
        <v>243</v>
      </c>
      <c r="L313" s="19" t="s">
        <v>195</v>
      </c>
      <c r="M313" s="19" t="s">
        <v>389</v>
      </c>
      <c r="N313" s="19" t="s">
        <v>222</v>
      </c>
      <c r="O313" s="58">
        <v>0</v>
      </c>
      <c r="P313" s="58">
        <v>0</v>
      </c>
      <c r="Q313" s="13">
        <v>188480</v>
      </c>
      <c r="R313" s="13">
        <v>200700</v>
      </c>
      <c r="S313" s="13">
        <v>200700</v>
      </c>
      <c r="T313" s="114">
        <v>256400</v>
      </c>
    </row>
    <row r="314" spans="1:22" x14ac:dyDescent="0.25">
      <c r="A314" s="185"/>
      <c r="B314" s="7"/>
      <c r="C314" s="7"/>
      <c r="D314" s="7"/>
      <c r="E314" s="7"/>
      <c r="F314" s="7"/>
      <c r="G314" s="7"/>
      <c r="H314" s="7"/>
      <c r="I314" s="7"/>
      <c r="J314" s="7"/>
      <c r="K314" s="44" t="s">
        <v>243</v>
      </c>
      <c r="L314" s="19" t="s">
        <v>195</v>
      </c>
      <c r="M314" s="19" t="s">
        <v>390</v>
      </c>
      <c r="N314" s="19" t="s">
        <v>222</v>
      </c>
      <c r="O314" s="58">
        <v>0</v>
      </c>
      <c r="P314" s="58">
        <v>0</v>
      </c>
      <c r="Q314" s="13">
        <v>238040</v>
      </c>
      <c r="R314" s="13">
        <v>238040</v>
      </c>
      <c r="S314" s="13">
        <v>238040</v>
      </c>
      <c r="T314" s="114">
        <v>304000</v>
      </c>
    </row>
    <row r="315" spans="1:22" x14ac:dyDescent="0.25">
      <c r="A315" s="185"/>
      <c r="B315" s="7"/>
      <c r="C315" s="7"/>
      <c r="D315" s="7"/>
      <c r="E315" s="7"/>
      <c r="F315" s="7"/>
      <c r="G315" s="7"/>
      <c r="H315" s="7"/>
      <c r="I315" s="7"/>
      <c r="J315" s="7"/>
      <c r="K315" s="44" t="s">
        <v>243</v>
      </c>
      <c r="L315" s="19" t="s">
        <v>195</v>
      </c>
      <c r="M315" s="19" t="s">
        <v>391</v>
      </c>
      <c r="N315" s="19" t="s">
        <v>222</v>
      </c>
      <c r="O315" s="13">
        <v>0</v>
      </c>
      <c r="P315" s="13">
        <v>0</v>
      </c>
      <c r="Q315" s="13">
        <v>477780</v>
      </c>
      <c r="R315" s="13">
        <v>561600</v>
      </c>
      <c r="S315" s="13">
        <v>561600</v>
      </c>
      <c r="T315" s="114">
        <v>720000</v>
      </c>
    </row>
    <row r="316" spans="1:22" x14ac:dyDescent="0.25">
      <c r="A316" s="185"/>
      <c r="B316" s="7"/>
      <c r="C316" s="7"/>
      <c r="D316" s="7"/>
      <c r="E316" s="7"/>
      <c r="F316" s="7"/>
      <c r="G316" s="7"/>
      <c r="H316" s="7"/>
      <c r="I316" s="7"/>
      <c r="J316" s="7"/>
      <c r="K316" s="44" t="s">
        <v>243</v>
      </c>
      <c r="L316" s="19" t="s">
        <v>195</v>
      </c>
      <c r="M316" s="19" t="s">
        <v>392</v>
      </c>
      <c r="N316" s="19" t="s">
        <v>222</v>
      </c>
      <c r="O316" s="13">
        <v>0</v>
      </c>
      <c r="P316" s="13">
        <v>0</v>
      </c>
      <c r="Q316" s="13">
        <v>35400</v>
      </c>
      <c r="R316" s="13">
        <v>35400</v>
      </c>
      <c r="S316" s="13">
        <v>35400</v>
      </c>
      <c r="T316" s="114">
        <v>41400</v>
      </c>
    </row>
    <row r="317" spans="1:22" x14ac:dyDescent="0.25">
      <c r="A317" s="185"/>
      <c r="B317" s="7"/>
      <c r="C317" s="7"/>
      <c r="D317" s="7"/>
      <c r="E317" s="7"/>
      <c r="F317" s="7"/>
      <c r="G317" s="7"/>
      <c r="H317" s="7"/>
      <c r="I317" s="7"/>
      <c r="J317" s="7"/>
      <c r="K317" s="44" t="s">
        <v>243</v>
      </c>
      <c r="L317" s="19" t="s">
        <v>244</v>
      </c>
      <c r="M317" s="19" t="s">
        <v>393</v>
      </c>
      <c r="N317" s="19" t="s">
        <v>221</v>
      </c>
      <c r="O317" s="13">
        <v>100000</v>
      </c>
      <c r="P317" s="13">
        <v>100000</v>
      </c>
      <c r="Q317" s="13">
        <v>100000</v>
      </c>
      <c r="R317" s="13">
        <v>0</v>
      </c>
      <c r="S317" s="13">
        <v>0</v>
      </c>
      <c r="T317" s="114">
        <v>0</v>
      </c>
    </row>
    <row r="318" spans="1:22" x14ac:dyDescent="0.25">
      <c r="A318" s="185"/>
      <c r="B318" s="7"/>
      <c r="C318" s="7"/>
      <c r="D318" s="7"/>
      <c r="E318" s="7"/>
      <c r="F318" s="7"/>
      <c r="G318" s="7"/>
      <c r="H318" s="7"/>
      <c r="I318" s="7"/>
      <c r="J318" s="7"/>
      <c r="K318" s="44" t="s">
        <v>243</v>
      </c>
      <c r="L318" s="19" t="s">
        <v>195</v>
      </c>
      <c r="M318" s="19" t="s">
        <v>394</v>
      </c>
      <c r="N318" s="19" t="s">
        <v>222</v>
      </c>
      <c r="O318" s="13">
        <v>1605840</v>
      </c>
      <c r="P318" s="13">
        <v>1587058.96</v>
      </c>
      <c r="Q318" s="13">
        <v>0</v>
      </c>
      <c r="R318" s="13">
        <v>0</v>
      </c>
      <c r="S318" s="13">
        <v>0</v>
      </c>
      <c r="T318" s="114">
        <v>0</v>
      </c>
    </row>
    <row r="319" spans="1:22" x14ac:dyDescent="0.25">
      <c r="A319" s="185"/>
      <c r="B319" s="7"/>
      <c r="C319" s="7"/>
      <c r="D319" s="7"/>
      <c r="E319" s="7"/>
      <c r="F319" s="7"/>
      <c r="G319" s="7"/>
      <c r="H319" s="7"/>
      <c r="I319" s="7"/>
      <c r="J319" s="7"/>
      <c r="K319" s="44" t="s">
        <v>243</v>
      </c>
      <c r="L319" s="19" t="s">
        <v>195</v>
      </c>
      <c r="M319" s="19" t="s">
        <v>216</v>
      </c>
      <c r="N319" s="19" t="s">
        <v>222</v>
      </c>
      <c r="O319" s="13">
        <v>55000</v>
      </c>
      <c r="P319" s="13">
        <v>5966</v>
      </c>
      <c r="Q319" s="13">
        <v>0</v>
      </c>
      <c r="R319" s="13">
        <v>0</v>
      </c>
      <c r="S319" s="13">
        <v>0</v>
      </c>
      <c r="T319" s="114">
        <v>0</v>
      </c>
    </row>
    <row r="320" spans="1:22" x14ac:dyDescent="0.25">
      <c r="A320" s="185"/>
      <c r="B320" s="7"/>
      <c r="C320" s="7"/>
      <c r="D320" s="7"/>
      <c r="E320" s="7"/>
      <c r="F320" s="7"/>
      <c r="G320" s="7"/>
      <c r="H320" s="7"/>
      <c r="I320" s="7"/>
      <c r="J320" s="7"/>
      <c r="K320" s="44" t="s">
        <v>243</v>
      </c>
      <c r="L320" s="19" t="s">
        <v>195</v>
      </c>
      <c r="M320" s="19" t="s">
        <v>216</v>
      </c>
      <c r="N320" s="19" t="s">
        <v>221</v>
      </c>
      <c r="O320" s="153">
        <f>141427+150000</f>
        <v>291427</v>
      </c>
      <c r="P320" s="153">
        <f>141427+150000</f>
        <v>291427</v>
      </c>
      <c r="Q320" s="153">
        <f>260000+268000</f>
        <v>528000</v>
      </c>
      <c r="R320" s="153">
        <v>225500</v>
      </c>
      <c r="S320" s="153">
        <v>225500</v>
      </c>
      <c r="T320" s="154">
        <v>225500</v>
      </c>
    </row>
    <row r="321" spans="1:22" s="2" customFormat="1" ht="21" customHeight="1" x14ac:dyDescent="0.2">
      <c r="A321" s="187" t="s">
        <v>45</v>
      </c>
      <c r="B321" s="187"/>
      <c r="C321" s="187"/>
      <c r="D321" s="187"/>
      <c r="E321" s="187"/>
      <c r="F321" s="187"/>
      <c r="G321" s="187"/>
      <c r="H321" s="187"/>
      <c r="I321" s="187"/>
      <c r="J321" s="187"/>
      <c r="K321" s="187"/>
      <c r="L321" s="187"/>
      <c r="M321" s="187"/>
      <c r="N321" s="187"/>
      <c r="O321" s="97">
        <f>O322</f>
        <v>690150.85</v>
      </c>
      <c r="P321" s="97">
        <f t="shared" ref="P321:T321" si="34">P322</f>
        <v>645966.12</v>
      </c>
      <c r="Q321" s="97">
        <f t="shared" si="34"/>
        <v>0</v>
      </c>
      <c r="R321" s="97">
        <f t="shared" si="34"/>
        <v>0</v>
      </c>
      <c r="S321" s="97">
        <f t="shared" si="34"/>
        <v>0</v>
      </c>
      <c r="T321" s="97">
        <f t="shared" si="34"/>
        <v>0</v>
      </c>
      <c r="U321" s="121"/>
      <c r="V321" s="121"/>
    </row>
    <row r="322" spans="1:22" ht="49.5" x14ac:dyDescent="0.25">
      <c r="A322" s="146" t="s">
        <v>46</v>
      </c>
      <c r="B322" s="23" t="s">
        <v>57</v>
      </c>
      <c r="C322" s="36" t="s">
        <v>489</v>
      </c>
      <c r="D322" s="43" t="s">
        <v>61</v>
      </c>
      <c r="E322" s="7"/>
      <c r="F322" s="7"/>
      <c r="G322" s="7"/>
      <c r="H322" s="7" t="s">
        <v>151</v>
      </c>
      <c r="I322" s="7"/>
      <c r="J322" s="7" t="s">
        <v>488</v>
      </c>
      <c r="K322" s="44" t="s">
        <v>195</v>
      </c>
      <c r="L322" s="19" t="s">
        <v>153</v>
      </c>
      <c r="M322" s="19" t="s">
        <v>371</v>
      </c>
      <c r="N322" s="19" t="s">
        <v>155</v>
      </c>
      <c r="O322" s="13">
        <v>690150.85</v>
      </c>
      <c r="P322" s="13">
        <v>645966.12</v>
      </c>
      <c r="Q322" s="13">
        <v>0</v>
      </c>
      <c r="R322" s="13">
        <v>0</v>
      </c>
      <c r="S322" s="13">
        <v>0</v>
      </c>
      <c r="T322" s="114">
        <v>0</v>
      </c>
    </row>
    <row r="323" spans="1:22" x14ac:dyDescent="0.25">
      <c r="A323" s="187" t="s">
        <v>149</v>
      </c>
      <c r="B323" s="187"/>
      <c r="C323" s="187"/>
      <c r="D323" s="187"/>
      <c r="E323" s="187"/>
      <c r="F323" s="187"/>
      <c r="G323" s="187"/>
      <c r="H323" s="187"/>
      <c r="I323" s="187"/>
      <c r="J323" s="187"/>
      <c r="K323" s="187"/>
      <c r="L323" s="187"/>
      <c r="M323" s="187"/>
      <c r="N323" s="187"/>
      <c r="O323" s="97">
        <v>805534107.27999997</v>
      </c>
      <c r="P323" s="97">
        <v>794292718.79999995</v>
      </c>
      <c r="Q323" s="97">
        <v>848652512.35000002</v>
      </c>
      <c r="R323" s="97">
        <f>864004472.5-358700</f>
        <v>863645772.5</v>
      </c>
      <c r="S323" s="97">
        <f>888618595.15-302400</f>
        <v>888316195.14999998</v>
      </c>
      <c r="T323" s="103">
        <f>887195913.24-315600</f>
        <v>886880313.24000001</v>
      </c>
    </row>
    <row r="324" spans="1:22" x14ac:dyDescent="0.25">
      <c r="A324" s="187" t="s">
        <v>500</v>
      </c>
      <c r="B324" s="187"/>
      <c r="C324" s="187"/>
      <c r="D324" s="187"/>
      <c r="E324" s="187"/>
      <c r="F324" s="187"/>
      <c r="G324" s="187"/>
      <c r="H324" s="187"/>
      <c r="I324" s="187"/>
      <c r="J324" s="187"/>
      <c r="K324" s="187"/>
      <c r="L324" s="187"/>
      <c r="M324" s="187"/>
      <c r="N324" s="187"/>
      <c r="O324" s="97">
        <v>156246922.53</v>
      </c>
      <c r="P324" s="97">
        <v>149296231.41999999</v>
      </c>
      <c r="Q324" s="97">
        <v>60826265.82</v>
      </c>
      <c r="R324" s="97">
        <v>8974242</v>
      </c>
      <c r="S324" s="97">
        <v>8811242</v>
      </c>
      <c r="T324" s="103">
        <v>9949942</v>
      </c>
    </row>
    <row r="325" spans="1:22" x14ac:dyDescent="0.25">
      <c r="A325" s="11"/>
      <c r="B325" s="12"/>
      <c r="C325" s="12"/>
      <c r="D325" s="12"/>
      <c r="E325" s="12"/>
      <c r="F325" s="12"/>
      <c r="G325" s="12"/>
      <c r="H325" s="12"/>
      <c r="I325" s="12"/>
      <c r="J325" s="12"/>
      <c r="K325" s="77"/>
      <c r="L325" s="18"/>
      <c r="M325" s="78"/>
      <c r="N325" s="78"/>
      <c r="O325" s="79"/>
      <c r="P325" s="79"/>
      <c r="Q325" s="79"/>
      <c r="R325" s="79"/>
      <c r="S325" s="79"/>
      <c r="T325" s="80"/>
    </row>
    <row r="326" spans="1:22" x14ac:dyDescent="0.25">
      <c r="A326" s="11"/>
      <c r="B326" s="12"/>
      <c r="C326" s="12"/>
      <c r="D326" s="12"/>
      <c r="E326" s="12"/>
      <c r="F326" s="12"/>
      <c r="G326" s="12"/>
      <c r="H326" s="12"/>
      <c r="I326" s="12"/>
      <c r="J326" s="12"/>
      <c r="K326" s="77"/>
      <c r="L326" s="18"/>
      <c r="M326" s="78"/>
      <c r="N326" s="78"/>
      <c r="O326" s="79"/>
      <c r="P326" s="79"/>
      <c r="Q326" s="79"/>
      <c r="R326" s="79"/>
      <c r="S326" s="79"/>
      <c r="T326" s="80"/>
    </row>
    <row r="327" spans="1:22" x14ac:dyDescent="0.25">
      <c r="A327" s="11"/>
      <c r="B327" s="12"/>
      <c r="C327" s="12"/>
      <c r="D327" s="12"/>
      <c r="E327" s="12"/>
      <c r="F327" s="12"/>
      <c r="G327" s="12"/>
      <c r="H327" s="12"/>
      <c r="I327" s="12"/>
      <c r="J327" s="12"/>
      <c r="K327" s="77"/>
      <c r="L327" s="18"/>
      <c r="M327" s="78"/>
      <c r="N327" s="78"/>
      <c r="O327" s="79"/>
      <c r="P327" s="79"/>
      <c r="Q327" s="79"/>
      <c r="R327" s="79"/>
      <c r="S327" s="79"/>
      <c r="T327" s="80"/>
    </row>
    <row r="328" spans="1:22" x14ac:dyDescent="0.25">
      <c r="A328" s="11"/>
      <c r="B328" s="12"/>
      <c r="C328" s="12"/>
      <c r="D328" s="12"/>
      <c r="E328" s="12"/>
      <c r="F328" s="12"/>
      <c r="G328" s="12"/>
      <c r="H328" s="12"/>
      <c r="I328" s="12"/>
      <c r="J328" s="12"/>
      <c r="K328" s="77"/>
      <c r="L328" s="18"/>
      <c r="M328" s="78"/>
      <c r="N328" s="78"/>
      <c r="O328" s="79"/>
      <c r="P328" s="79"/>
      <c r="Q328" s="79"/>
      <c r="R328" s="79"/>
      <c r="S328" s="79"/>
      <c r="T328" s="79"/>
    </row>
    <row r="329" spans="1:22" x14ac:dyDescent="0.25">
      <c r="A329" s="11"/>
      <c r="B329" s="12"/>
      <c r="C329" s="12"/>
      <c r="D329" s="12"/>
      <c r="E329" s="12"/>
      <c r="F329" s="12"/>
      <c r="G329" s="12"/>
      <c r="H329" s="12"/>
      <c r="I329" s="12"/>
      <c r="J329" s="12"/>
      <c r="K329" s="77"/>
      <c r="L329" s="18"/>
      <c r="M329" s="78"/>
      <c r="N329" s="78"/>
      <c r="O329" s="79"/>
      <c r="P329" s="79"/>
      <c r="Q329" s="79"/>
      <c r="R329" s="79"/>
      <c r="S329" s="79"/>
      <c r="T329" s="80"/>
    </row>
    <row r="330" spans="1:22" s="2" customFormat="1" ht="17.25" customHeight="1" x14ac:dyDescent="0.2">
      <c r="A330" s="168" t="s">
        <v>550</v>
      </c>
      <c r="B330" s="169"/>
      <c r="C330" s="170"/>
      <c r="D330" s="184" t="s">
        <v>544</v>
      </c>
      <c r="E330" s="184"/>
      <c r="F330" s="170"/>
      <c r="G330" s="171"/>
      <c r="H330" s="171"/>
      <c r="I330" s="171"/>
      <c r="J330" s="171"/>
      <c r="K330" s="172"/>
      <c r="L330" s="173"/>
      <c r="M330" s="174"/>
      <c r="N330" s="174"/>
      <c r="O330" s="174"/>
      <c r="P330" s="174"/>
      <c r="Q330" s="174"/>
      <c r="R330" s="174"/>
      <c r="S330" s="174"/>
      <c r="T330" s="174"/>
      <c r="U330" s="121"/>
      <c r="V330" s="121"/>
    </row>
    <row r="331" spans="1:22" ht="15" customHeight="1" x14ac:dyDescent="0.25">
      <c r="A331" s="3"/>
      <c r="B331" s="124" t="s">
        <v>9</v>
      </c>
      <c r="C331" s="132"/>
      <c r="D331" s="182" t="s">
        <v>10</v>
      </c>
      <c r="E331" s="182"/>
      <c r="F331" s="131"/>
      <c r="G331" s="29"/>
      <c r="H331" s="32"/>
      <c r="I331" s="32"/>
      <c r="J331" s="32"/>
      <c r="K331" s="81"/>
      <c r="L331" s="82"/>
      <c r="M331" s="83"/>
      <c r="N331" s="83"/>
      <c r="O331" s="83"/>
      <c r="P331" s="83"/>
      <c r="Q331" s="83"/>
      <c r="R331" s="83"/>
      <c r="S331" s="83"/>
      <c r="T331" s="83"/>
    </row>
    <row r="332" spans="1:22" s="2" customFormat="1" ht="27" customHeight="1" x14ac:dyDescent="0.3">
      <c r="A332" s="175" t="s">
        <v>546</v>
      </c>
      <c r="B332" s="169"/>
      <c r="C332" s="170"/>
      <c r="D332" s="183" t="s">
        <v>545</v>
      </c>
      <c r="E332" s="183"/>
      <c r="F332" s="176"/>
      <c r="G332" s="171"/>
      <c r="H332" s="177"/>
      <c r="I332" s="177"/>
      <c r="J332" s="177"/>
      <c r="K332" s="178"/>
      <c r="L332" s="178"/>
      <c r="M332" s="179"/>
      <c r="N332" s="179"/>
      <c r="O332" s="179"/>
      <c r="P332" s="179"/>
      <c r="Q332" s="180"/>
      <c r="R332" s="180"/>
      <c r="S332" s="180"/>
      <c r="T332" s="181"/>
      <c r="U332" s="121"/>
      <c r="V332" s="121"/>
    </row>
    <row r="333" spans="1:22" ht="16.5" customHeight="1" x14ac:dyDescent="0.25">
      <c r="A333" s="5" t="s">
        <v>47</v>
      </c>
      <c r="B333" s="124" t="s">
        <v>9</v>
      </c>
      <c r="C333" s="132"/>
      <c r="D333" s="182" t="s">
        <v>10</v>
      </c>
      <c r="E333" s="182"/>
      <c r="F333" s="131"/>
      <c r="G333" s="28"/>
      <c r="H333" s="30"/>
      <c r="I333" s="32"/>
      <c r="J333" s="32"/>
      <c r="K333" s="86"/>
      <c r="L333" s="86"/>
      <c r="M333" s="189"/>
      <c r="N333" s="189"/>
      <c r="O333" s="189"/>
      <c r="P333" s="83"/>
      <c r="Q333" s="87"/>
      <c r="R333" s="87"/>
      <c r="S333" s="87"/>
    </row>
    <row r="334" spans="1:22" x14ac:dyDescent="0.25">
      <c r="A334" s="3"/>
      <c r="B334" s="28"/>
      <c r="C334" s="28"/>
      <c r="D334" s="28"/>
      <c r="E334" s="28"/>
      <c r="F334" s="28"/>
      <c r="G334" s="28"/>
      <c r="H334" s="28"/>
      <c r="I334" s="28"/>
      <c r="J334" s="28"/>
      <c r="K334" s="86"/>
      <c r="L334" s="86"/>
      <c r="M334" s="83"/>
      <c r="N334" s="83"/>
      <c r="O334" s="83"/>
      <c r="P334" s="83"/>
      <c r="Q334" s="84"/>
      <c r="R334" s="84"/>
      <c r="S334" s="84"/>
    </row>
    <row r="335" spans="1:22" ht="28.5" customHeight="1" x14ac:dyDescent="0.25">
      <c r="A335" s="3" t="s">
        <v>547</v>
      </c>
      <c r="H335" s="31"/>
      <c r="I335" s="31"/>
      <c r="J335" s="31"/>
      <c r="K335" s="88"/>
      <c r="L335" s="88"/>
      <c r="M335" s="89"/>
      <c r="N335" s="89"/>
      <c r="O335" s="89"/>
      <c r="P335" s="89"/>
      <c r="Q335" s="89"/>
      <c r="R335" s="89"/>
      <c r="S335" s="90"/>
    </row>
    <row r="336" spans="1:22" x14ac:dyDescent="0.25">
      <c r="M336" s="85"/>
      <c r="N336" s="85"/>
    </row>
    <row r="337" spans="13:14" x14ac:dyDescent="0.25">
      <c r="M337" s="85"/>
      <c r="N337" s="85"/>
    </row>
    <row r="338" spans="13:14" x14ac:dyDescent="0.25">
      <c r="M338" s="85"/>
      <c r="N338" s="85"/>
    </row>
    <row r="339" spans="13:14" x14ac:dyDescent="0.25">
      <c r="M339" s="85"/>
      <c r="N339" s="85"/>
    </row>
    <row r="340" spans="13:14" x14ac:dyDescent="0.25">
      <c r="M340" s="85"/>
      <c r="N340" s="85"/>
    </row>
    <row r="341" spans="13:14" x14ac:dyDescent="0.25">
      <c r="M341" s="85"/>
      <c r="N341" s="85"/>
    </row>
    <row r="342" spans="13:14" x14ac:dyDescent="0.25">
      <c r="M342" s="85"/>
      <c r="N342" s="85"/>
    </row>
    <row r="343" spans="13:14" x14ac:dyDescent="0.25">
      <c r="M343" s="85"/>
      <c r="N343" s="85"/>
    </row>
    <row r="344" spans="13:14" x14ac:dyDescent="0.25">
      <c r="M344" s="85"/>
      <c r="N344" s="85"/>
    </row>
    <row r="345" spans="13:14" x14ac:dyDescent="0.25">
      <c r="M345" s="85"/>
      <c r="N345" s="85"/>
    </row>
    <row r="346" spans="13:14" x14ac:dyDescent="0.25">
      <c r="M346" s="85"/>
      <c r="N346" s="85"/>
    </row>
    <row r="347" spans="13:14" x14ac:dyDescent="0.25">
      <c r="M347" s="85"/>
      <c r="N347" s="85"/>
    </row>
    <row r="348" spans="13:14" x14ac:dyDescent="0.25">
      <c r="M348" s="85"/>
      <c r="N348" s="85"/>
    </row>
    <row r="349" spans="13:14" x14ac:dyDescent="0.25">
      <c r="M349" s="85"/>
      <c r="N349" s="85"/>
    </row>
    <row r="350" spans="13:14" x14ac:dyDescent="0.25">
      <c r="M350" s="85"/>
      <c r="N350" s="85"/>
    </row>
    <row r="351" spans="13:14" x14ac:dyDescent="0.25">
      <c r="M351" s="85"/>
      <c r="N351" s="85"/>
    </row>
    <row r="352" spans="13:14" x14ac:dyDescent="0.25">
      <c r="M352" s="85"/>
      <c r="N352" s="85"/>
    </row>
    <row r="353" spans="13:14" x14ac:dyDescent="0.25">
      <c r="M353" s="85"/>
      <c r="N353" s="85"/>
    </row>
    <row r="354" spans="13:14" x14ac:dyDescent="0.25">
      <c r="M354" s="85"/>
      <c r="N354" s="85"/>
    </row>
    <row r="355" spans="13:14" x14ac:dyDescent="0.25">
      <c r="M355" s="85"/>
      <c r="N355" s="85"/>
    </row>
    <row r="356" spans="13:14" x14ac:dyDescent="0.25">
      <c r="M356" s="85"/>
      <c r="N356" s="85"/>
    </row>
    <row r="357" spans="13:14" x14ac:dyDescent="0.25">
      <c r="M357" s="85"/>
      <c r="N357" s="85"/>
    </row>
    <row r="358" spans="13:14" x14ac:dyDescent="0.25">
      <c r="M358" s="85"/>
      <c r="N358" s="85"/>
    </row>
    <row r="359" spans="13:14" x14ac:dyDescent="0.25">
      <c r="M359" s="85"/>
      <c r="N359" s="85"/>
    </row>
    <row r="360" spans="13:14" x14ac:dyDescent="0.25">
      <c r="M360" s="85"/>
      <c r="N360" s="85"/>
    </row>
    <row r="361" spans="13:14" x14ac:dyDescent="0.25">
      <c r="M361" s="85"/>
      <c r="N361" s="85"/>
    </row>
  </sheetData>
  <mergeCells count="52">
    <mergeCell ref="A283:A284"/>
    <mergeCell ref="A286:A289"/>
    <mergeCell ref="A290:A295"/>
    <mergeCell ref="A23:A35"/>
    <mergeCell ref="A1:S1"/>
    <mergeCell ref="A3:G3"/>
    <mergeCell ref="A4:A6"/>
    <mergeCell ref="S5:T5"/>
    <mergeCell ref="A2:T2"/>
    <mergeCell ref="A8:N8"/>
    <mergeCell ref="A9:N9"/>
    <mergeCell ref="M333:O333"/>
    <mergeCell ref="B5:D5"/>
    <mergeCell ref="A10:A22"/>
    <mergeCell ref="A110:A118"/>
    <mergeCell ref="A119:A141"/>
    <mergeCell ref="A157:A158"/>
    <mergeCell ref="K4:N5"/>
    <mergeCell ref="B4:J4"/>
    <mergeCell ref="H5:J5"/>
    <mergeCell ref="O4:T4"/>
    <mergeCell ref="O5:P5"/>
    <mergeCell ref="E5:G5"/>
    <mergeCell ref="A323:N323"/>
    <mergeCell ref="A324:N324"/>
    <mergeCell ref="A306:A320"/>
    <mergeCell ref="A303:A304"/>
    <mergeCell ref="A51:A53"/>
    <mergeCell ref="A46:A50"/>
    <mergeCell ref="A36:A45"/>
    <mergeCell ref="A206:N206"/>
    <mergeCell ref="A207:A261"/>
    <mergeCell ref="A54:A109"/>
    <mergeCell ref="A142:A147"/>
    <mergeCell ref="A148:A150"/>
    <mergeCell ref="A151:A156"/>
    <mergeCell ref="D333:E333"/>
    <mergeCell ref="D331:E331"/>
    <mergeCell ref="D332:E332"/>
    <mergeCell ref="D330:E330"/>
    <mergeCell ref="A159:A177"/>
    <mergeCell ref="A184:A191"/>
    <mergeCell ref="A192:A197"/>
    <mergeCell ref="A198:A202"/>
    <mergeCell ref="A203:A205"/>
    <mergeCell ref="A178:A183"/>
    <mergeCell ref="A305:N305"/>
    <mergeCell ref="A321:N321"/>
    <mergeCell ref="A296:N296"/>
    <mergeCell ref="A297:N297"/>
    <mergeCell ref="A262:A278"/>
    <mergeCell ref="A279:A282"/>
  </mergeCells>
  <printOptions horizontalCentered="1"/>
  <pageMargins left="0.19685039370078741" right="0.19685039370078741" top="0.9055118110236221" bottom="0.43307086614173229" header="0.15748031496062992" footer="0.15748031496062992"/>
  <pageSetup paperSize="9" scale="61" fitToHeight="0" orientation="landscape" errors="blank"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7"/>
    <Parameter Name="ReportMode" Type="System.Int32" Value="7"/>
  </Parameters>
</MailMerge>
</file>

<file path=customXml/itemProps1.xml><?xml version="1.0" encoding="utf-8"?>
<ds:datastoreItem xmlns:ds="http://schemas.openxmlformats.org/officeDocument/2006/customXml" ds:itemID="{A39C63F0-7DCF-46B8-9646-A816F44DAA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Муницип</vt:lpstr>
      <vt:lpstr>Муницип!Заголовки_для_печати</vt:lpstr>
      <vt:lpstr>Муницип!Область_печати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Агаркова</cp:lastModifiedBy>
  <cp:lastPrinted>2016-11-30T06:33:32Z</cp:lastPrinted>
  <dcterms:created xsi:type="dcterms:W3CDTF">2016-05-06T11:31:42Z</dcterms:created>
  <dcterms:modified xsi:type="dcterms:W3CDTF">2016-11-30T06:34:19Z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 Name">
    <vt:lpwstr>C:\inetpub\wwwroot\svod-smart\temp\ReportManager\rro_2015_tipinformaciiutochnyonnij_web_0_44.xls</vt:lpwstr>
  </property>
</Properties>
</file>